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autoCompressPictures="0"/>
  <bookViews>
    <workbookView xWindow="-3495" yWindow="-18285" windowWidth="26100" windowHeight="16440" tabRatio="909"/>
  </bookViews>
  <sheets>
    <sheet name="2100 E-SCLE" sheetId="17" r:id="rId1"/>
    <sheet name="2200 M-SCLE" sheetId="26" r:id="rId2"/>
    <sheet name="2300 H-SCLE" sheetId="36" r:id="rId3"/>
    <sheet name="2400 COMBINATION-SCLE" sheetId="37" r:id="rId4"/>
    <sheet name="DNPBracketing" sheetId="38" r:id="rId5"/>
  </sheets>
  <definedNames>
    <definedName name="CTCoreBrackets">DNPBracketing!$AR$3:$AU$18</definedName>
    <definedName name="CTCoreSF">DNPBracketing!$V$9</definedName>
    <definedName name="CTProgramBrackets">DNPBracketing!$AX$3:$BA$18</definedName>
    <definedName name="CTProgramSF">DNPBracketing!$V$10</definedName>
    <definedName name="CurrentYear">DNPBracketing!$A$61</definedName>
    <definedName name="ElementaryBrackets">DNPBracketing!$Z$3:$AC$18</definedName>
    <definedName name="ElementarySF">DNPBracketing!$V$6</definedName>
    <definedName name="EMBrackets">DNPBracketing!$BD$3:$BG$18</definedName>
    <definedName name="EMHBrackets">DNPBracketing!$BP$3:$BS$18</definedName>
    <definedName name="HighBrackets">DNPBracketing!$AL$3:$AO$18</definedName>
    <definedName name="HighSF">DNPBracketing!$V$8</definedName>
    <definedName name="MHBrackets">DNPBracketing!$BJ$3:$BM$18</definedName>
    <definedName name="MiddleBrackets">DNPBracketing!$AF$3:$AI$18</definedName>
    <definedName name="MiddleSF">DNPBracketing!$V$7</definedName>
    <definedName name="_xlnm.Print_Area" localSheetId="0">'2100 E-SCLE'!$A$1:$M$94</definedName>
    <definedName name="_xlnm.Print_Area" localSheetId="1">'2200 M-SCLE'!$A$1:$M$94</definedName>
    <definedName name="_xlnm.Print_Area" localSheetId="2">'2300 H-SCLE'!$A$1:$M$94</definedName>
    <definedName name="_xlnm.Print_Area" localSheetId="3">'2400 COMBINATION-SCLE'!$A$1:$M$96</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BO17" i="38" l="1"/>
  <c r="BS17" i="38"/>
  <c r="BO16" i="38"/>
  <c r="BS16" i="38"/>
  <c r="BR16" i="38"/>
  <c r="BO15" i="38"/>
  <c r="BR15" i="38"/>
  <c r="BS15" i="38"/>
  <c r="BO14" i="38"/>
  <c r="BS14" i="38"/>
  <c r="BO13" i="38"/>
  <c r="BS13" i="38"/>
  <c r="BR13" i="38"/>
  <c r="BO12" i="38"/>
  <c r="BS12" i="38"/>
  <c r="BR12" i="38"/>
  <c r="BO11" i="38"/>
  <c r="BR11" i="38"/>
  <c r="BS11" i="38"/>
  <c r="BO10" i="38"/>
  <c r="BS10" i="38"/>
  <c r="BO9" i="38"/>
  <c r="BR9" i="38"/>
  <c r="BS9" i="38"/>
  <c r="BO8" i="38"/>
  <c r="BR8" i="38"/>
  <c r="BS8" i="38"/>
  <c r="BO7" i="38"/>
  <c r="BO6" i="38"/>
  <c r="BO5" i="38"/>
  <c r="BR5" i="38"/>
  <c r="BS5" i="38"/>
  <c r="BO4" i="38"/>
  <c r="BR4" i="38"/>
  <c r="BS4" i="38"/>
  <c r="BO3" i="38"/>
  <c r="BR3" i="38"/>
  <c r="BS3" i="38"/>
  <c r="BR7" i="38"/>
  <c r="BS7" i="38"/>
  <c r="BR6" i="38"/>
  <c r="BS6" i="38"/>
  <c r="BR10" i="38"/>
  <c r="BR14" i="38"/>
  <c r="BR17" i="38"/>
  <c r="M95" i="37"/>
  <c r="M93" i="36"/>
  <c r="M93" i="26"/>
  <c r="M93" i="17"/>
  <c r="C48" i="38"/>
  <c r="C49" i="38"/>
  <c r="C50" i="38"/>
  <c r="F48" i="38"/>
  <c r="F49" i="38"/>
  <c r="F50" i="38"/>
  <c r="F51" i="38"/>
  <c r="F53" i="38"/>
  <c r="L55" i="38"/>
  <c r="C36" i="38"/>
  <c r="F37" i="38"/>
  <c r="C21" i="38"/>
  <c r="C6" i="38"/>
  <c r="F9" i="38"/>
  <c r="C53" i="38"/>
  <c r="W52" i="38"/>
  <c r="W51" i="38"/>
  <c r="C39" i="38"/>
  <c r="W38" i="38"/>
  <c r="W37" i="38"/>
  <c r="W35" i="38"/>
  <c r="W34" i="38"/>
  <c r="C25" i="38"/>
  <c r="W24" i="38"/>
  <c r="W23" i="38"/>
  <c r="F23" i="38"/>
  <c r="W22" i="38"/>
  <c r="F22" i="38"/>
  <c r="F21" i="38"/>
  <c r="W20" i="38"/>
  <c r="F20" i="38"/>
  <c r="F25" i="38"/>
  <c r="K18" i="38"/>
  <c r="I18" i="38"/>
  <c r="S17" i="38"/>
  <c r="BI17" i="38"/>
  <c r="BL17" i="38"/>
  <c r="BC17" i="38"/>
  <c r="BF17" i="38"/>
  <c r="BG17" i="38"/>
  <c r="AW17" i="38"/>
  <c r="AZ17" i="38"/>
  <c r="AQ17" i="38"/>
  <c r="AT17" i="38"/>
  <c r="AU17" i="38"/>
  <c r="AK17" i="38"/>
  <c r="AN17" i="38"/>
  <c r="AE17" i="38"/>
  <c r="AH17" i="38"/>
  <c r="AI17" i="38"/>
  <c r="Y17" i="38"/>
  <c r="AB17" i="38"/>
  <c r="BI16" i="38"/>
  <c r="BL16" i="38"/>
  <c r="BC16" i="38"/>
  <c r="BF16" i="38"/>
  <c r="BG16" i="38"/>
  <c r="AW16" i="38"/>
  <c r="AZ16" i="38"/>
  <c r="AQ16" i="38"/>
  <c r="AT16" i="38"/>
  <c r="AU16" i="38"/>
  <c r="AK16" i="38"/>
  <c r="AN16" i="38"/>
  <c r="AE16" i="38"/>
  <c r="AH16" i="38"/>
  <c r="AI16" i="38"/>
  <c r="Y16" i="38"/>
  <c r="AB16" i="38"/>
  <c r="BI15" i="38"/>
  <c r="BL15" i="38"/>
  <c r="BC15" i="38"/>
  <c r="BF15" i="38"/>
  <c r="BG15" i="38"/>
  <c r="AW15" i="38"/>
  <c r="AZ15" i="38"/>
  <c r="AQ15" i="38"/>
  <c r="AT15" i="38"/>
  <c r="AU15" i="38"/>
  <c r="AK15" i="38"/>
  <c r="AN15" i="38"/>
  <c r="AE15" i="38"/>
  <c r="AH15" i="38"/>
  <c r="AI15" i="38"/>
  <c r="Y15" i="38"/>
  <c r="AB15" i="38"/>
  <c r="BI14" i="38"/>
  <c r="BL14" i="38"/>
  <c r="BC14" i="38"/>
  <c r="BF14" i="38"/>
  <c r="BG14" i="38"/>
  <c r="AW14" i="38"/>
  <c r="AZ14" i="38"/>
  <c r="AQ14" i="38"/>
  <c r="AT14" i="38"/>
  <c r="AU14" i="38"/>
  <c r="AK14" i="38"/>
  <c r="AN14" i="38"/>
  <c r="AE14" i="38"/>
  <c r="AH14" i="38"/>
  <c r="AI14" i="38"/>
  <c r="Y14" i="38"/>
  <c r="AB14" i="38"/>
  <c r="BI13" i="38"/>
  <c r="BM13" i="38"/>
  <c r="BL13" i="38"/>
  <c r="BC13" i="38"/>
  <c r="BF13" i="38"/>
  <c r="BG13" i="38"/>
  <c r="AW13" i="38"/>
  <c r="BA13" i="38"/>
  <c r="AZ13" i="38"/>
  <c r="AQ13" i="38"/>
  <c r="AT13" i="38"/>
  <c r="AU13" i="38"/>
  <c r="AK13" i="38"/>
  <c r="AO13" i="38"/>
  <c r="AN13" i="38"/>
  <c r="AE13" i="38"/>
  <c r="AH13" i="38"/>
  <c r="AI13" i="38"/>
  <c r="Y13" i="38"/>
  <c r="AC13" i="38"/>
  <c r="AB13" i="38"/>
  <c r="BI12" i="38"/>
  <c r="BL12" i="38"/>
  <c r="BM12" i="38"/>
  <c r="BC12" i="38"/>
  <c r="BF12" i="38"/>
  <c r="AW12" i="38"/>
  <c r="AZ12" i="38"/>
  <c r="BA12" i="38"/>
  <c r="AQ12" i="38"/>
  <c r="AT12" i="38"/>
  <c r="AK12" i="38"/>
  <c r="AN12" i="38"/>
  <c r="AO12" i="38"/>
  <c r="AE12" i="38"/>
  <c r="AH12" i="38"/>
  <c r="Y12" i="38"/>
  <c r="AB12" i="38"/>
  <c r="AC12" i="38"/>
  <c r="BI11" i="38"/>
  <c r="BL11" i="38"/>
  <c r="BM11" i="38"/>
  <c r="BC11" i="38"/>
  <c r="BF11" i="38"/>
  <c r="AW11" i="38"/>
  <c r="AZ11" i="38"/>
  <c r="BA11" i="38"/>
  <c r="AQ11" i="38"/>
  <c r="AT11" i="38"/>
  <c r="AK11" i="38"/>
  <c r="AN11" i="38"/>
  <c r="AO11" i="38"/>
  <c r="AE11" i="38"/>
  <c r="AH11" i="38"/>
  <c r="Y11" i="38"/>
  <c r="AB11" i="38"/>
  <c r="AC11" i="38"/>
  <c r="C11" i="38"/>
  <c r="BI10" i="38"/>
  <c r="BL10" i="38"/>
  <c r="BC10" i="38"/>
  <c r="BF10" i="38"/>
  <c r="BG10" i="38"/>
  <c r="AW10" i="38"/>
  <c r="AZ10" i="38"/>
  <c r="AQ10" i="38"/>
  <c r="AT10" i="38"/>
  <c r="AU10" i="38"/>
  <c r="AK10" i="38"/>
  <c r="AN10" i="38"/>
  <c r="AE10" i="38"/>
  <c r="AH10" i="38"/>
  <c r="AI10" i="38"/>
  <c r="Y10" i="38"/>
  <c r="AB10" i="38"/>
  <c r="W10" i="38"/>
  <c r="BI9" i="38"/>
  <c r="BL9" i="38"/>
  <c r="BC9" i="38"/>
  <c r="BF9" i="38"/>
  <c r="BG9" i="38"/>
  <c r="AW9" i="38"/>
  <c r="AZ9" i="38"/>
  <c r="AQ9" i="38"/>
  <c r="AT9" i="38"/>
  <c r="AU9" i="38"/>
  <c r="AK9" i="38"/>
  <c r="AN9" i="38"/>
  <c r="AE9" i="38"/>
  <c r="Y9" i="38"/>
  <c r="AB9" i="38"/>
  <c r="AC9" i="38"/>
  <c r="W9" i="38"/>
  <c r="BI8" i="38"/>
  <c r="BL8" i="38"/>
  <c r="BM8" i="38"/>
  <c r="BC8" i="38"/>
  <c r="BF8" i="38"/>
  <c r="AW8" i="38"/>
  <c r="AZ8" i="38"/>
  <c r="BA8" i="38"/>
  <c r="AQ8" i="38"/>
  <c r="AT8" i="38"/>
  <c r="AK8" i="38"/>
  <c r="AN8" i="38"/>
  <c r="AO8" i="38"/>
  <c r="AE8" i="38"/>
  <c r="AH8" i="38"/>
  <c r="Y8" i="38"/>
  <c r="AB8" i="38"/>
  <c r="AC8" i="38"/>
  <c r="W8" i="38"/>
  <c r="BI7" i="38"/>
  <c r="BL7" i="38"/>
  <c r="BM7" i="38"/>
  <c r="BC7" i="38"/>
  <c r="BF7" i="38"/>
  <c r="AW7" i="38"/>
  <c r="AZ7" i="38"/>
  <c r="BA7" i="38"/>
  <c r="AQ7" i="38"/>
  <c r="AT7" i="38"/>
  <c r="AK7" i="38"/>
  <c r="AN7" i="38"/>
  <c r="AO7" i="38"/>
  <c r="AE7" i="38"/>
  <c r="AH7" i="38"/>
  <c r="Y7" i="38"/>
  <c r="AB7" i="38"/>
  <c r="AC7" i="38"/>
  <c r="W7" i="38"/>
  <c r="BI6" i="38"/>
  <c r="BL6" i="38"/>
  <c r="BC6" i="38"/>
  <c r="BF6" i="38"/>
  <c r="BG6" i="38"/>
  <c r="AW6" i="38"/>
  <c r="AZ6" i="38"/>
  <c r="AQ6" i="38"/>
  <c r="AT6" i="38"/>
  <c r="AU6" i="38"/>
  <c r="AK6" i="38"/>
  <c r="AN6" i="38"/>
  <c r="AE6" i="38"/>
  <c r="AH6" i="38"/>
  <c r="AI6" i="38"/>
  <c r="Y6" i="38"/>
  <c r="AB6" i="38"/>
  <c r="BI5" i="38"/>
  <c r="BL5" i="38"/>
  <c r="BC5" i="38"/>
  <c r="BF5" i="38"/>
  <c r="BG5" i="38"/>
  <c r="AW5" i="38"/>
  <c r="AZ5" i="38"/>
  <c r="AQ5" i="38"/>
  <c r="AT5" i="38"/>
  <c r="AU5" i="38"/>
  <c r="AK5" i="38"/>
  <c r="AN5" i="38"/>
  <c r="AE5" i="38"/>
  <c r="AH5" i="38"/>
  <c r="AI5" i="38"/>
  <c r="Y5" i="38"/>
  <c r="AB5" i="38"/>
  <c r="BI4" i="38"/>
  <c r="BL4" i="38"/>
  <c r="BC4" i="38"/>
  <c r="BF4" i="38"/>
  <c r="BG4" i="38"/>
  <c r="AW4" i="38"/>
  <c r="AZ4" i="38"/>
  <c r="AQ4" i="38"/>
  <c r="AT4" i="38"/>
  <c r="AU4" i="38"/>
  <c r="AK4" i="38"/>
  <c r="AN4" i="38"/>
  <c r="AE4" i="38"/>
  <c r="AH4" i="38"/>
  <c r="AI4" i="38"/>
  <c r="Y4" i="38"/>
  <c r="AB4" i="38"/>
  <c r="BI3" i="38"/>
  <c r="BL3" i="38"/>
  <c r="BM3" i="38"/>
  <c r="BC3" i="38"/>
  <c r="BF3" i="38"/>
  <c r="AW3" i="38"/>
  <c r="AZ3" i="38"/>
  <c r="BA3" i="38"/>
  <c r="AQ3" i="38"/>
  <c r="AT3" i="38"/>
  <c r="AK3" i="38"/>
  <c r="AN3" i="38"/>
  <c r="AO3" i="38"/>
  <c r="AE3" i="38"/>
  <c r="AH3" i="38"/>
  <c r="Y3" i="38"/>
  <c r="AB3" i="38"/>
  <c r="AC3" i="38"/>
  <c r="AU11" i="36"/>
  <c r="BA11" i="36"/>
  <c r="G21" i="36"/>
  <c r="AM16" i="26"/>
  <c r="AT16" i="26"/>
  <c r="G21" i="26"/>
  <c r="AU36" i="17"/>
  <c r="BB36" i="17"/>
  <c r="G21" i="17"/>
  <c r="G19" i="37"/>
  <c r="O21" i="37"/>
  <c r="O20" i="37"/>
  <c r="O22" i="37"/>
  <c r="U14" i="37"/>
  <c r="U7" i="37"/>
  <c r="U13" i="37"/>
  <c r="O26" i="37"/>
  <c r="BC207" i="37"/>
  <c r="BD207" i="37"/>
  <c r="BC208" i="37"/>
  <c r="BD208" i="37"/>
  <c r="AG220" i="37"/>
  <c r="AH220" i="37"/>
  <c r="BC209" i="37"/>
  <c r="BD209" i="37"/>
  <c r="AG221" i="37"/>
  <c r="AH221" i="37"/>
  <c r="BC210" i="37"/>
  <c r="BD210" i="37"/>
  <c r="AG217" i="37"/>
  <c r="AH217" i="37"/>
  <c r="BC211" i="37"/>
  <c r="BD211" i="37"/>
  <c r="AG218" i="37"/>
  <c r="AH218" i="37"/>
  <c r="BC212" i="37"/>
  <c r="BD212" i="37"/>
  <c r="AG219" i="37"/>
  <c r="AH219" i="37"/>
  <c r="BC213" i="37"/>
  <c r="BD213" i="37"/>
  <c r="AG215" i="37"/>
  <c r="AH215" i="37"/>
  <c r="AG222" i="37"/>
  <c r="AH222" i="37"/>
  <c r="AG223" i="37"/>
  <c r="AH223" i="37"/>
  <c r="AG224" i="37"/>
  <c r="AH224" i="37"/>
  <c r="AG225" i="37"/>
  <c r="AH225" i="37"/>
  <c r="AG226" i="37"/>
  <c r="AH226" i="37"/>
  <c r="BW208" i="37"/>
  <c r="BX208" i="37"/>
  <c r="BW209" i="37"/>
  <c r="BX209" i="37"/>
  <c r="AG49" i="37"/>
  <c r="AH49" i="37"/>
  <c r="AG50" i="37"/>
  <c r="AH50" i="37"/>
  <c r="AG51" i="37"/>
  <c r="AH51" i="37"/>
  <c r="AG52" i="37"/>
  <c r="AH52" i="37"/>
  <c r="AG53" i="37"/>
  <c r="AH53" i="37"/>
  <c r="AG182" i="37"/>
  <c r="AH182" i="37"/>
  <c r="AG183" i="37"/>
  <c r="AH183" i="37"/>
  <c r="AG185" i="37"/>
  <c r="AH185" i="37"/>
  <c r="AG186" i="37"/>
  <c r="AH186" i="37"/>
  <c r="AG187" i="37"/>
  <c r="AH187" i="37"/>
  <c r="AG188" i="37"/>
  <c r="AH188" i="37"/>
  <c r="AG189" i="37"/>
  <c r="AH189" i="37"/>
  <c r="AG190" i="37"/>
  <c r="AH190" i="37"/>
  <c r="AG191" i="37"/>
  <c r="AH191" i="37"/>
  <c r="AG192" i="37"/>
  <c r="AH192" i="37"/>
  <c r="AG193" i="37"/>
  <c r="AH193" i="37"/>
  <c r="AG194" i="37"/>
  <c r="AH194" i="37"/>
  <c r="AG195" i="37"/>
  <c r="AH195" i="37"/>
  <c r="AG196" i="37"/>
  <c r="AH196" i="37"/>
  <c r="AG197" i="37"/>
  <c r="AH197" i="37"/>
  <c r="AG198" i="37"/>
  <c r="AH198" i="37"/>
  <c r="AG244" i="37"/>
  <c r="AH244" i="37"/>
  <c r="AG245" i="37"/>
  <c r="AH245" i="37"/>
  <c r="AG251" i="37"/>
  <c r="AH251" i="37"/>
  <c r="AG246" i="37"/>
  <c r="AH246" i="37"/>
  <c r="AG247" i="37"/>
  <c r="AH247" i="37"/>
  <c r="AG248" i="37"/>
  <c r="AH248" i="37"/>
  <c r="AG249" i="37"/>
  <c r="AH249" i="37"/>
  <c r="AG250" i="37"/>
  <c r="AH250" i="37"/>
  <c r="AG252" i="37"/>
  <c r="AH252" i="37"/>
  <c r="AG285" i="37"/>
  <c r="AG286" i="37"/>
  <c r="AG287" i="37"/>
  <c r="AG288" i="37"/>
  <c r="AG289" i="37"/>
  <c r="AG290" i="37"/>
  <c r="AH290" i="37"/>
  <c r="AG291" i="37"/>
  <c r="AH291" i="37"/>
  <c r="AG320" i="37"/>
  <c r="AH320" i="37"/>
  <c r="AG321" i="37"/>
  <c r="AH321" i="37"/>
  <c r="AG8" i="37"/>
  <c r="AH8" i="37"/>
  <c r="AG9" i="37"/>
  <c r="AH9" i="37"/>
  <c r="AG10" i="37"/>
  <c r="AH10" i="37"/>
  <c r="AG11" i="37"/>
  <c r="AH11" i="37"/>
  <c r="AG12" i="37"/>
  <c r="AH12" i="37"/>
  <c r="AG13" i="37"/>
  <c r="AH13" i="37"/>
  <c r="AG14" i="37"/>
  <c r="AH14" i="37"/>
  <c r="AG15" i="37"/>
  <c r="AH15" i="37"/>
  <c r="AG16" i="37"/>
  <c r="AH16" i="37"/>
  <c r="AG17" i="37"/>
  <c r="AH17" i="37"/>
  <c r="AG18" i="37"/>
  <c r="AH18" i="37"/>
  <c r="AG19" i="37"/>
  <c r="AH19" i="37"/>
  <c r="AG20" i="37"/>
  <c r="AH20" i="37"/>
  <c r="AG21" i="37"/>
  <c r="AH21" i="37"/>
  <c r="AG22" i="37"/>
  <c r="AH22" i="37"/>
  <c r="AG84" i="37"/>
  <c r="AH84" i="37"/>
  <c r="AG85" i="37"/>
  <c r="AH85" i="37"/>
  <c r="AG86" i="37"/>
  <c r="AH86" i="37"/>
  <c r="AG87" i="37"/>
  <c r="AH87" i="37"/>
  <c r="AG88" i="37"/>
  <c r="AH88" i="37"/>
  <c r="AG89" i="37"/>
  <c r="AH89" i="37"/>
  <c r="AG90" i="37"/>
  <c r="AH90" i="37"/>
  <c r="AG91" i="37"/>
  <c r="AH91" i="37"/>
  <c r="AG125" i="37"/>
  <c r="AH125" i="37"/>
  <c r="AG126" i="37"/>
  <c r="AH126" i="37"/>
  <c r="AG127" i="37"/>
  <c r="AH127" i="37"/>
  <c r="BC122" i="37"/>
  <c r="AG155" i="37"/>
  <c r="AH155" i="37"/>
  <c r="AG156" i="37"/>
  <c r="AH156" i="37"/>
  <c r="AG157" i="37"/>
  <c r="AH157" i="37"/>
  <c r="AG158" i="37"/>
  <c r="AH158" i="37"/>
  <c r="AG159" i="37"/>
  <c r="AH159" i="37"/>
  <c r="AG160" i="37"/>
  <c r="AH160" i="37"/>
  <c r="AG161" i="37"/>
  <c r="AH161" i="37"/>
  <c r="AG162" i="37"/>
  <c r="AH162" i="37"/>
  <c r="AG163" i="37"/>
  <c r="AH163" i="37"/>
  <c r="AG164" i="37"/>
  <c r="AH164" i="37"/>
  <c r="AG405" i="37"/>
  <c r="AH405" i="37"/>
  <c r="AG406" i="37"/>
  <c r="AH406" i="37"/>
  <c r="AG407" i="37"/>
  <c r="AH407" i="37"/>
  <c r="AG408" i="37"/>
  <c r="AH408" i="37"/>
  <c r="AH410" i="37"/>
  <c r="AG383" i="37"/>
  <c r="AH383" i="37"/>
  <c r="AG385" i="37"/>
  <c r="AH385" i="37"/>
  <c r="AG386" i="37"/>
  <c r="AH386" i="37"/>
  <c r="AG387" i="37"/>
  <c r="AH387" i="37"/>
  <c r="AG388" i="37"/>
  <c r="AH388" i="37"/>
  <c r="AG426" i="37"/>
  <c r="AH426" i="37"/>
  <c r="AG427" i="37"/>
  <c r="AH427" i="37"/>
  <c r="AG428" i="37"/>
  <c r="AH428" i="37"/>
  <c r="AH430" i="37"/>
  <c r="AB429" i="37"/>
  <c r="AA430" i="37"/>
  <c r="AG341" i="37"/>
  <c r="AH341" i="37"/>
  <c r="AG342" i="37"/>
  <c r="AH342" i="37"/>
  <c r="AG343" i="37"/>
  <c r="AH343" i="37"/>
  <c r="AG347" i="37"/>
  <c r="AH347" i="37"/>
  <c r="AG348" i="37"/>
  <c r="AH348" i="37"/>
  <c r="AG349" i="37"/>
  <c r="AH349" i="37"/>
  <c r="AG350" i="37"/>
  <c r="AH350" i="37"/>
  <c r="AG351" i="37"/>
  <c r="AH351" i="37"/>
  <c r="G28" i="37"/>
  <c r="CP15" i="37"/>
  <c r="DL9" i="37"/>
  <c r="DL8" i="37"/>
  <c r="DL7" i="37"/>
  <c r="DL6" i="37"/>
  <c r="DJ9" i="37"/>
  <c r="DJ8" i="37"/>
  <c r="DJ7" i="37"/>
  <c r="DJ6" i="37"/>
  <c r="DH9" i="37"/>
  <c r="DH8" i="37"/>
  <c r="DH7" i="37"/>
  <c r="DH6" i="37"/>
  <c r="DF9" i="37"/>
  <c r="DF8" i="37"/>
  <c r="DF7" i="37"/>
  <c r="DF6" i="37"/>
  <c r="DD9" i="37"/>
  <c r="DD8" i="37"/>
  <c r="DD7" i="37"/>
  <c r="DD6" i="37"/>
  <c r="DB9" i="37"/>
  <c r="DB8" i="37"/>
  <c r="DB7" i="37"/>
  <c r="CZ9" i="37"/>
  <c r="CZ8" i="37"/>
  <c r="CZ7" i="37"/>
  <c r="CZ6" i="37"/>
  <c r="CX9" i="37"/>
  <c r="CX8" i="37"/>
  <c r="CX7" i="37"/>
  <c r="CX6" i="37"/>
  <c r="CV9" i="37"/>
  <c r="CV8" i="37"/>
  <c r="CV7" i="37"/>
  <c r="CV6" i="37"/>
  <c r="U12" i="37"/>
  <c r="CV17" i="37"/>
  <c r="CV19" i="37"/>
  <c r="CT7" i="37"/>
  <c r="CT15" i="37"/>
  <c r="CX17" i="37"/>
  <c r="DB6" i="37"/>
  <c r="CP7" i="37"/>
  <c r="CT33" i="37"/>
  <c r="CT16" i="37"/>
  <c r="CP16" i="37"/>
  <c r="CP9" i="37"/>
  <c r="CP8" i="37"/>
  <c r="CT9" i="37"/>
  <c r="CT8" i="37"/>
  <c r="CT6" i="37"/>
  <c r="CP33" i="37"/>
  <c r="BW8" i="37"/>
  <c r="BX8" i="37"/>
  <c r="BW9" i="37"/>
  <c r="BX9" i="37"/>
  <c r="BW10" i="37"/>
  <c r="BX10" i="37"/>
  <c r="BW11" i="37"/>
  <c r="BX11" i="37"/>
  <c r="BW12" i="37"/>
  <c r="BX12" i="37"/>
  <c r="BW13" i="37"/>
  <c r="BX13" i="37"/>
  <c r="BW14" i="37"/>
  <c r="BX14" i="37"/>
  <c r="BW15" i="37"/>
  <c r="BX15" i="37"/>
  <c r="BW16" i="37"/>
  <c r="BX16" i="37"/>
  <c r="BW17" i="37"/>
  <c r="BX17" i="37"/>
  <c r="BW18" i="37"/>
  <c r="BX18" i="37"/>
  <c r="BW19" i="37"/>
  <c r="BX19" i="37"/>
  <c r="BX21" i="37"/>
  <c r="Z23" i="37"/>
  <c r="BC8" i="37"/>
  <c r="BD8" i="37"/>
  <c r="BC9" i="37"/>
  <c r="BD9" i="37"/>
  <c r="BC10" i="37"/>
  <c r="BD10" i="37"/>
  <c r="BC11" i="37"/>
  <c r="BD11" i="37"/>
  <c r="BC12" i="37"/>
  <c r="BD12" i="37"/>
  <c r="BC13" i="37"/>
  <c r="BD13" i="37"/>
  <c r="BC14" i="37"/>
  <c r="BD14" i="37"/>
  <c r="BC15" i="37"/>
  <c r="BD15" i="37"/>
  <c r="BC16" i="37"/>
  <c r="BD16" i="37"/>
  <c r="BC17" i="37"/>
  <c r="BD17" i="37"/>
  <c r="BD19" i="37"/>
  <c r="AA23" i="37"/>
  <c r="BW83" i="37"/>
  <c r="BX83" i="37"/>
  <c r="BW84" i="37"/>
  <c r="BX84" i="37"/>
  <c r="BW85" i="37"/>
  <c r="BX85" i="37"/>
  <c r="BW86" i="37"/>
  <c r="BX86" i="37"/>
  <c r="BW87" i="37"/>
  <c r="BX87" i="37"/>
  <c r="BC81" i="37"/>
  <c r="BD81" i="37"/>
  <c r="BC82" i="37"/>
  <c r="BD82" i="37"/>
  <c r="BC83" i="37"/>
  <c r="BD83" i="37"/>
  <c r="BC84" i="37"/>
  <c r="BD84" i="37"/>
  <c r="BC85" i="37"/>
  <c r="BD85" i="37"/>
  <c r="BC86" i="37"/>
  <c r="BD86" i="37"/>
  <c r="BW121" i="37"/>
  <c r="BX121" i="37"/>
  <c r="BW122" i="37"/>
  <c r="BX122" i="37"/>
  <c r="BW123" i="37"/>
  <c r="BX123" i="37"/>
  <c r="BC121" i="37"/>
  <c r="BD121" i="37"/>
  <c r="BD122" i="37"/>
  <c r="BW152" i="37"/>
  <c r="BX152" i="37"/>
  <c r="BX155" i="37"/>
  <c r="Z165" i="37"/>
  <c r="BC151" i="37"/>
  <c r="BD151" i="37"/>
  <c r="BC152" i="37"/>
  <c r="BD152" i="37"/>
  <c r="BC153" i="37"/>
  <c r="BD153" i="37"/>
  <c r="BC372" i="37"/>
  <c r="BD372" i="37"/>
  <c r="BC373" i="37"/>
  <c r="BD373" i="37"/>
  <c r="BC374" i="37"/>
  <c r="BD374" i="37"/>
  <c r="BD376" i="37"/>
  <c r="AA389" i="37"/>
  <c r="BC393" i="37"/>
  <c r="BD393" i="37"/>
  <c r="BC394" i="37"/>
  <c r="BD394" i="37"/>
  <c r="BD396" i="37"/>
  <c r="AA409" i="37"/>
  <c r="AB409" i="37"/>
  <c r="AA410" i="37"/>
  <c r="U332" i="17"/>
  <c r="V332" i="17"/>
  <c r="U176" i="17"/>
  <c r="V176" i="17"/>
  <c r="U177" i="17"/>
  <c r="V177" i="17"/>
  <c r="U178" i="17"/>
  <c r="V178" i="17"/>
  <c r="U179" i="17"/>
  <c r="V179" i="17"/>
  <c r="U180" i="17"/>
  <c r="V180" i="17"/>
  <c r="U181" i="17"/>
  <c r="V181" i="17"/>
  <c r="U182" i="17"/>
  <c r="V182" i="17"/>
  <c r="U183" i="17"/>
  <c r="V183" i="17"/>
  <c r="U184" i="17"/>
  <c r="V184" i="17"/>
  <c r="U185" i="17"/>
  <c r="V185" i="17"/>
  <c r="U186" i="17"/>
  <c r="V186" i="17"/>
  <c r="U187" i="17"/>
  <c r="V187" i="17"/>
  <c r="U188" i="17"/>
  <c r="V188" i="17"/>
  <c r="U189" i="17"/>
  <c r="V189" i="17"/>
  <c r="U190" i="17"/>
  <c r="V190" i="17"/>
  <c r="V192" i="17"/>
  <c r="G22" i="17"/>
  <c r="U210" i="17"/>
  <c r="V210" i="17"/>
  <c r="U211" i="17"/>
  <c r="V211" i="17"/>
  <c r="V213" i="17"/>
  <c r="G23" i="17"/>
  <c r="U328" i="17"/>
  <c r="V328" i="17"/>
  <c r="U329" i="17"/>
  <c r="V329" i="17"/>
  <c r="U330" i="17"/>
  <c r="V330" i="17"/>
  <c r="U334" i="17"/>
  <c r="V334" i="17"/>
  <c r="U335" i="17"/>
  <c r="V335" i="17"/>
  <c r="U336" i="17"/>
  <c r="V336" i="17"/>
  <c r="U337" i="17"/>
  <c r="V337" i="17"/>
  <c r="U338" i="17"/>
  <c r="V338" i="17"/>
  <c r="G18" i="17"/>
  <c r="S176" i="26"/>
  <c r="T176" i="26"/>
  <c r="S177" i="26"/>
  <c r="T177" i="26"/>
  <c r="S178" i="26"/>
  <c r="T178" i="26"/>
  <c r="S179" i="26"/>
  <c r="T179" i="26"/>
  <c r="S180" i="26"/>
  <c r="T180" i="26"/>
  <c r="S181" i="26"/>
  <c r="T181" i="26"/>
  <c r="S182" i="26"/>
  <c r="T182" i="26"/>
  <c r="S183" i="26"/>
  <c r="T183" i="26"/>
  <c r="S184" i="26"/>
  <c r="T184" i="26"/>
  <c r="S185" i="26"/>
  <c r="T185" i="26"/>
  <c r="S186" i="26"/>
  <c r="T186" i="26"/>
  <c r="S187" i="26"/>
  <c r="T187" i="26"/>
  <c r="S188" i="26"/>
  <c r="T188" i="26"/>
  <c r="S189" i="26"/>
  <c r="T189" i="26"/>
  <c r="S190" i="26"/>
  <c r="T190" i="26"/>
  <c r="T192" i="26"/>
  <c r="G22" i="26"/>
  <c r="S210" i="26"/>
  <c r="T210" i="26"/>
  <c r="S211" i="26"/>
  <c r="T211" i="26"/>
  <c r="S212" i="26"/>
  <c r="T212" i="26"/>
  <c r="S213" i="26"/>
  <c r="T213" i="26"/>
  <c r="S214" i="26"/>
  <c r="T214" i="26"/>
  <c r="S215" i="26"/>
  <c r="T215" i="26"/>
  <c r="S216" i="26"/>
  <c r="T216" i="26"/>
  <c r="T218" i="26"/>
  <c r="G23" i="26"/>
  <c r="S13" i="26"/>
  <c r="T13" i="26"/>
  <c r="S14" i="26"/>
  <c r="T14" i="26"/>
  <c r="S15" i="26"/>
  <c r="T15" i="26"/>
  <c r="S16" i="26"/>
  <c r="T16" i="26"/>
  <c r="S17" i="26"/>
  <c r="T17" i="26"/>
  <c r="S18" i="26"/>
  <c r="T18" i="26"/>
  <c r="S19" i="26"/>
  <c r="T19" i="26"/>
  <c r="S20" i="26"/>
  <c r="T20" i="26"/>
  <c r="S21" i="26"/>
  <c r="T21" i="26"/>
  <c r="S22" i="26"/>
  <c r="T22" i="26"/>
  <c r="S49" i="26"/>
  <c r="T49" i="26"/>
  <c r="S50" i="26"/>
  <c r="T50" i="26"/>
  <c r="S51" i="26"/>
  <c r="T51" i="26"/>
  <c r="S52" i="26"/>
  <c r="T52" i="26"/>
  <c r="S53" i="26"/>
  <c r="T53" i="26"/>
  <c r="T55" i="26"/>
  <c r="S86" i="26"/>
  <c r="T86" i="26"/>
  <c r="S87" i="26"/>
  <c r="T87" i="26"/>
  <c r="S88" i="26"/>
  <c r="T88" i="26"/>
  <c r="S89" i="26"/>
  <c r="T89" i="26"/>
  <c r="S123" i="26"/>
  <c r="T123" i="26"/>
  <c r="S124" i="26"/>
  <c r="T124" i="26"/>
  <c r="S125" i="26"/>
  <c r="T125" i="26"/>
  <c r="T127" i="26"/>
  <c r="S154" i="26"/>
  <c r="T154" i="26"/>
  <c r="S155" i="26"/>
  <c r="T155" i="26"/>
  <c r="S156" i="26"/>
  <c r="T156" i="26"/>
  <c r="S236" i="26"/>
  <c r="T236" i="26"/>
  <c r="S237" i="26"/>
  <c r="T237" i="26"/>
  <c r="S238" i="26"/>
  <c r="T238" i="26"/>
  <c r="S239" i="26"/>
  <c r="T239" i="26"/>
  <c r="S240" i="26"/>
  <c r="T240" i="26"/>
  <c r="T242" i="26"/>
  <c r="S277" i="26"/>
  <c r="S278" i="26"/>
  <c r="S279" i="26"/>
  <c r="S280" i="26"/>
  <c r="S281" i="26"/>
  <c r="T276" i="26"/>
  <c r="S282" i="26"/>
  <c r="T282" i="26"/>
  <c r="S283" i="26"/>
  <c r="T283" i="26"/>
  <c r="T275" i="26"/>
  <c r="T285" i="26"/>
  <c r="S312" i="26"/>
  <c r="T312" i="26"/>
  <c r="S313" i="26"/>
  <c r="T313" i="26"/>
  <c r="S375" i="26"/>
  <c r="T375" i="26"/>
  <c r="S376" i="26"/>
  <c r="T376" i="26"/>
  <c r="S377" i="26"/>
  <c r="T377" i="26"/>
  <c r="T379" i="26"/>
  <c r="S396" i="26"/>
  <c r="T396" i="26"/>
  <c r="S397" i="26"/>
  <c r="T397" i="26"/>
  <c r="S333" i="26"/>
  <c r="T333" i="26"/>
  <c r="S334" i="26"/>
  <c r="T334" i="26"/>
  <c r="S335" i="26"/>
  <c r="T335" i="26"/>
  <c r="S339" i="26"/>
  <c r="T339" i="26"/>
  <c r="S340" i="26"/>
  <c r="T340" i="26"/>
  <c r="S341" i="26"/>
  <c r="T341" i="26"/>
  <c r="S342" i="26"/>
  <c r="T342" i="26"/>
  <c r="S343" i="26"/>
  <c r="T343" i="26"/>
  <c r="G18" i="26"/>
  <c r="S180" i="36"/>
  <c r="T180" i="36"/>
  <c r="S181" i="36"/>
  <c r="T181" i="36"/>
  <c r="S182" i="36"/>
  <c r="T182" i="36"/>
  <c r="S183" i="36"/>
  <c r="T183" i="36"/>
  <c r="S184" i="36"/>
  <c r="T184" i="36"/>
  <c r="S185" i="36"/>
  <c r="T185" i="36"/>
  <c r="S186" i="36"/>
  <c r="T186" i="36"/>
  <c r="S187" i="36"/>
  <c r="T187" i="36"/>
  <c r="S188" i="36"/>
  <c r="T188" i="36"/>
  <c r="S189" i="36"/>
  <c r="T189" i="36"/>
  <c r="S190" i="36"/>
  <c r="T190" i="36"/>
  <c r="S191" i="36"/>
  <c r="T191" i="36"/>
  <c r="S192" i="36"/>
  <c r="T192" i="36"/>
  <c r="S193" i="36"/>
  <c r="T193" i="36"/>
  <c r="S194" i="36"/>
  <c r="T194" i="36"/>
  <c r="S195" i="36"/>
  <c r="T195" i="36"/>
  <c r="S196" i="36"/>
  <c r="T196" i="36"/>
  <c r="S213" i="36"/>
  <c r="T213" i="36"/>
  <c r="S214" i="36"/>
  <c r="T214" i="36"/>
  <c r="S215" i="36"/>
  <c r="T215" i="36"/>
  <c r="S216" i="36"/>
  <c r="T216" i="36"/>
  <c r="S217" i="36"/>
  <c r="T217" i="36"/>
  <c r="S218" i="36"/>
  <c r="T218" i="36"/>
  <c r="S219" i="36"/>
  <c r="T219" i="36"/>
  <c r="S220" i="36"/>
  <c r="T220" i="36"/>
  <c r="S221" i="36"/>
  <c r="T221" i="36"/>
  <c r="S222" i="36"/>
  <c r="T222" i="36"/>
  <c r="S223" i="36"/>
  <c r="T223" i="36"/>
  <c r="S224" i="36"/>
  <c r="T224" i="36"/>
  <c r="AR22" i="36"/>
  <c r="AX22" i="36"/>
  <c r="AS22" i="36"/>
  <c r="AY22" i="36"/>
  <c r="AT22" i="36"/>
  <c r="AZ22" i="36"/>
  <c r="AU22" i="36"/>
  <c r="BA22" i="36"/>
  <c r="BD22" i="36"/>
  <c r="AQ22" i="36"/>
  <c r="AW22" i="36"/>
  <c r="BC22" i="36"/>
  <c r="AR11" i="36"/>
  <c r="AX11" i="36"/>
  <c r="AS11" i="36"/>
  <c r="AY11" i="36"/>
  <c r="AT11" i="36"/>
  <c r="AZ11" i="36"/>
  <c r="AQ11" i="36"/>
  <c r="AW11" i="36"/>
  <c r="BC11" i="36"/>
  <c r="AQ26" i="26"/>
  <c r="AX26" i="26"/>
  <c r="AR26" i="26"/>
  <c r="AY26" i="26"/>
  <c r="BB26" i="26"/>
  <c r="AQ16" i="26"/>
  <c r="AX16" i="26"/>
  <c r="AR16" i="26"/>
  <c r="AY16" i="26"/>
  <c r="BB16" i="26"/>
  <c r="AM26" i="26"/>
  <c r="AT26" i="26"/>
  <c r="AN26" i="26"/>
  <c r="AU26" i="26"/>
  <c r="AO26" i="26"/>
  <c r="AV26" i="26"/>
  <c r="AP26" i="26"/>
  <c r="AW26" i="26"/>
  <c r="AN16" i="26"/>
  <c r="AU16" i="26"/>
  <c r="AO16" i="26"/>
  <c r="AV16" i="26"/>
  <c r="AP16" i="26"/>
  <c r="AW16" i="26"/>
  <c r="AT36" i="17"/>
  <c r="BA36" i="17"/>
  <c r="AV36" i="17"/>
  <c r="BC36" i="17"/>
  <c r="BH36" i="17"/>
  <c r="AU20" i="36"/>
  <c r="AT20" i="36"/>
  <c r="AS20" i="36"/>
  <c r="AR20" i="36"/>
  <c r="AU13" i="36"/>
  <c r="AT13" i="36"/>
  <c r="AS13" i="36"/>
  <c r="AR13" i="36"/>
  <c r="AQ20" i="36"/>
  <c r="AQ13" i="36"/>
  <c r="AQ25" i="36"/>
  <c r="AT44" i="17"/>
  <c r="AR24" i="26"/>
  <c r="AQ24" i="26"/>
  <c r="AP24" i="26"/>
  <c r="AO24" i="26"/>
  <c r="AN24" i="26"/>
  <c r="AM24" i="26"/>
  <c r="AR18" i="26"/>
  <c r="AR29" i="26"/>
  <c r="AQ18" i="26"/>
  <c r="AP18" i="26"/>
  <c r="AP29" i="26"/>
  <c r="AO18" i="26"/>
  <c r="AN18" i="26"/>
  <c r="AN29" i="26"/>
  <c r="AU25" i="36"/>
  <c r="AT25" i="36"/>
  <c r="AR25" i="36"/>
  <c r="AM18" i="26"/>
  <c r="AQ29" i="26"/>
  <c r="AO29" i="26"/>
  <c r="AM29" i="26"/>
  <c r="AW36" i="17"/>
  <c r="BD36" i="17"/>
  <c r="AX36" i="17"/>
  <c r="BE36" i="17"/>
  <c r="AY36" i="17"/>
  <c r="BF36" i="17"/>
  <c r="BI36" i="17"/>
  <c r="AO25" i="36"/>
  <c r="AO27" i="36"/>
  <c r="AN25" i="36"/>
  <c r="AN27" i="36"/>
  <c r="AM25" i="36"/>
  <c r="AM27" i="36"/>
  <c r="AL25" i="36"/>
  <c r="AL27" i="36"/>
  <c r="AK25" i="36"/>
  <c r="AK27" i="36"/>
  <c r="AO9" i="36"/>
  <c r="AN9" i="36"/>
  <c r="AM9" i="36"/>
  <c r="AL9" i="36"/>
  <c r="AK9" i="36"/>
  <c r="AK8" i="36"/>
  <c r="AW44" i="17"/>
  <c r="BD44" i="17"/>
  <c r="AX44" i="17"/>
  <c r="BE44" i="17"/>
  <c r="AY44" i="17"/>
  <c r="BF44" i="17"/>
  <c r="BA44" i="17"/>
  <c r="AU44" i="17"/>
  <c r="BB44" i="17"/>
  <c r="AV44" i="17"/>
  <c r="BC44" i="17"/>
  <c r="AV42" i="17"/>
  <c r="AT42" i="17"/>
  <c r="AU42" i="17"/>
  <c r="AW42" i="17"/>
  <c r="AX42" i="17"/>
  <c r="AY42" i="17"/>
  <c r="AT38" i="17"/>
  <c r="AU38" i="17"/>
  <c r="AV38" i="17"/>
  <c r="AW38" i="17"/>
  <c r="AX38" i="17"/>
  <c r="AX48" i="17"/>
  <c r="AY38" i="17"/>
  <c r="AY48" i="17"/>
  <c r="AW48" i="17"/>
  <c r="AU48" i="17"/>
  <c r="BA20" i="17"/>
  <c r="BA19" i="17"/>
  <c r="BA18" i="17"/>
  <c r="BA17" i="17"/>
  <c r="BA16" i="17"/>
  <c r="BA15" i="17"/>
  <c r="BA14" i="17"/>
  <c r="BA13" i="17"/>
  <c r="BA12" i="17"/>
  <c r="U12" i="17"/>
  <c r="V12" i="17"/>
  <c r="U13" i="17"/>
  <c r="V13" i="17"/>
  <c r="U14" i="17"/>
  <c r="V14" i="17"/>
  <c r="U15" i="17"/>
  <c r="V15" i="17"/>
  <c r="U16" i="17"/>
  <c r="V16" i="17"/>
  <c r="U17" i="17"/>
  <c r="V17" i="17"/>
  <c r="U18" i="17"/>
  <c r="V18" i="17"/>
  <c r="U19" i="17"/>
  <c r="V19" i="17"/>
  <c r="U20" i="17"/>
  <c r="V20" i="17"/>
  <c r="U21" i="17"/>
  <c r="V21" i="17"/>
  <c r="U22" i="17"/>
  <c r="V22" i="17"/>
  <c r="U23" i="17"/>
  <c r="V23" i="17"/>
  <c r="V25" i="17"/>
  <c r="U49" i="17"/>
  <c r="V49" i="17"/>
  <c r="U50" i="17"/>
  <c r="V50" i="17"/>
  <c r="U51" i="17"/>
  <c r="V51" i="17"/>
  <c r="U52" i="17"/>
  <c r="V52" i="17"/>
  <c r="U53" i="17"/>
  <c r="V53" i="17"/>
  <c r="U87" i="17"/>
  <c r="V87" i="17"/>
  <c r="U88" i="17"/>
  <c r="V88" i="17"/>
  <c r="U89" i="17"/>
  <c r="V89" i="17"/>
  <c r="V91" i="17"/>
  <c r="U123" i="17"/>
  <c r="V123" i="17"/>
  <c r="U124" i="17"/>
  <c r="V124" i="17"/>
  <c r="U125" i="17"/>
  <c r="V125" i="17"/>
  <c r="U154" i="17"/>
  <c r="V154" i="17"/>
  <c r="U155" i="17"/>
  <c r="V155" i="17"/>
  <c r="V157" i="17"/>
  <c r="U231" i="17"/>
  <c r="V231" i="17"/>
  <c r="U232" i="17"/>
  <c r="V232" i="17"/>
  <c r="U233" i="17"/>
  <c r="V233" i="17"/>
  <c r="U234" i="17"/>
  <c r="V234" i="17"/>
  <c r="U235" i="17"/>
  <c r="V235" i="17"/>
  <c r="U272" i="17"/>
  <c r="U273" i="17"/>
  <c r="U274" i="17"/>
  <c r="U275" i="17"/>
  <c r="U276" i="17"/>
  <c r="V271" i="17"/>
  <c r="U277" i="17"/>
  <c r="V277" i="17"/>
  <c r="U278" i="17"/>
  <c r="V278" i="17"/>
  <c r="V270" i="17"/>
  <c r="V280" i="17"/>
  <c r="U307" i="17"/>
  <c r="V307" i="17"/>
  <c r="U308" i="17"/>
  <c r="V308" i="17"/>
  <c r="V310" i="17"/>
  <c r="S8" i="36"/>
  <c r="T8" i="36"/>
  <c r="S9" i="36"/>
  <c r="T9" i="36"/>
  <c r="S10" i="36"/>
  <c r="T10" i="36"/>
  <c r="S11" i="36"/>
  <c r="T11" i="36"/>
  <c r="S12" i="36"/>
  <c r="T12" i="36"/>
  <c r="S13" i="36"/>
  <c r="T13" i="36"/>
  <c r="S14" i="36"/>
  <c r="T14" i="36"/>
  <c r="S15" i="36"/>
  <c r="T15" i="36"/>
  <c r="S16" i="36"/>
  <c r="T16" i="36"/>
  <c r="S17" i="36"/>
  <c r="T17" i="36"/>
  <c r="S18" i="36"/>
  <c r="T18" i="36"/>
  <c r="S19" i="36"/>
  <c r="T19" i="36"/>
  <c r="S20" i="36"/>
  <c r="T20" i="36"/>
  <c r="S21" i="36"/>
  <c r="T21" i="36"/>
  <c r="S22" i="36"/>
  <c r="T22" i="36"/>
  <c r="S49" i="36"/>
  <c r="T49" i="36"/>
  <c r="S50" i="36"/>
  <c r="T50" i="36"/>
  <c r="S51" i="36"/>
  <c r="T51" i="36"/>
  <c r="S52" i="36"/>
  <c r="T52" i="36"/>
  <c r="S53" i="36"/>
  <c r="T53" i="36"/>
  <c r="T55" i="36"/>
  <c r="S84" i="36"/>
  <c r="T84" i="36"/>
  <c r="S85" i="36"/>
  <c r="T85" i="36"/>
  <c r="S86" i="36"/>
  <c r="T86" i="36"/>
  <c r="S87" i="36"/>
  <c r="T87" i="36"/>
  <c r="S88" i="36"/>
  <c r="T88" i="36"/>
  <c r="S89" i="36"/>
  <c r="T89" i="36"/>
  <c r="S123" i="36"/>
  <c r="T123" i="36"/>
  <c r="S124" i="36"/>
  <c r="T124" i="36"/>
  <c r="S125" i="36"/>
  <c r="T125" i="36"/>
  <c r="T127" i="36"/>
  <c r="S153" i="36"/>
  <c r="T153" i="36"/>
  <c r="S154" i="36"/>
  <c r="T154" i="36"/>
  <c r="S155" i="36"/>
  <c r="T155" i="36"/>
  <c r="S156" i="36"/>
  <c r="T156" i="36"/>
  <c r="S157" i="36"/>
  <c r="T157" i="36"/>
  <c r="S158" i="36"/>
  <c r="T158" i="36"/>
  <c r="S159" i="36"/>
  <c r="T159" i="36"/>
  <c r="S160" i="36"/>
  <c r="T160" i="36"/>
  <c r="S161" i="36"/>
  <c r="T161" i="36"/>
  <c r="S162" i="36"/>
  <c r="T162" i="36"/>
  <c r="S242" i="36"/>
  <c r="T242" i="36"/>
  <c r="S243" i="36"/>
  <c r="T243" i="36"/>
  <c r="S244" i="36"/>
  <c r="T244" i="36"/>
  <c r="S245" i="36"/>
  <c r="T245" i="36"/>
  <c r="S246" i="36"/>
  <c r="T246" i="36"/>
  <c r="S247" i="36"/>
  <c r="T247" i="36"/>
  <c r="S248" i="36"/>
  <c r="T248" i="36"/>
  <c r="S249" i="36"/>
  <c r="T249" i="36"/>
  <c r="S250" i="36"/>
  <c r="T250" i="36"/>
  <c r="T252" i="36"/>
  <c r="S381" i="36"/>
  <c r="T381" i="36"/>
  <c r="S383" i="36"/>
  <c r="T383" i="36"/>
  <c r="S384" i="36"/>
  <c r="T384" i="36"/>
  <c r="S385" i="36"/>
  <c r="T385" i="36"/>
  <c r="S386" i="36"/>
  <c r="T386" i="36"/>
  <c r="S403" i="36"/>
  <c r="T403" i="36"/>
  <c r="S404" i="36"/>
  <c r="T404" i="36"/>
  <c r="S405" i="36"/>
  <c r="T405" i="36"/>
  <c r="S406" i="36"/>
  <c r="T406" i="36"/>
  <c r="T408" i="36"/>
  <c r="S424" i="36"/>
  <c r="T424" i="36"/>
  <c r="S425" i="36"/>
  <c r="T425" i="36"/>
  <c r="S426" i="36"/>
  <c r="T426" i="36"/>
  <c r="S283" i="36"/>
  <c r="S284" i="36"/>
  <c r="S285" i="36"/>
  <c r="S286" i="36"/>
  <c r="S287" i="36"/>
  <c r="T282" i="36"/>
  <c r="S288" i="36"/>
  <c r="T288" i="36"/>
  <c r="S289" i="36"/>
  <c r="T289" i="36"/>
  <c r="T281" i="36"/>
  <c r="T291" i="36"/>
  <c r="S318" i="36"/>
  <c r="T318" i="36"/>
  <c r="S319" i="36"/>
  <c r="T319" i="36"/>
  <c r="T321" i="36"/>
  <c r="S339" i="36"/>
  <c r="T339" i="36"/>
  <c r="S340" i="36"/>
  <c r="T340" i="36"/>
  <c r="S341" i="36"/>
  <c r="T341" i="36"/>
  <c r="S345" i="36"/>
  <c r="T345" i="36"/>
  <c r="S346" i="36"/>
  <c r="T346" i="36"/>
  <c r="S347" i="36"/>
  <c r="T347" i="36"/>
  <c r="S348" i="36"/>
  <c r="T348" i="36"/>
  <c r="S349" i="36"/>
  <c r="T349" i="36"/>
  <c r="BZ21" i="37"/>
  <c r="CC21" i="37"/>
  <c r="CF21" i="37"/>
  <c r="BF19" i="37"/>
  <c r="BI19" i="37"/>
  <c r="AJ24" i="37"/>
  <c r="AM24" i="37"/>
  <c r="AO24" i="37"/>
  <c r="AB27" i="37"/>
  <c r="AA25" i="37"/>
  <c r="G53" i="37"/>
  <c r="G54" i="37"/>
  <c r="G56" i="37"/>
  <c r="G57" i="37"/>
  <c r="G58" i="37"/>
  <c r="G59" i="37"/>
  <c r="G61" i="37"/>
  <c r="G63" i="37"/>
  <c r="G60" i="37"/>
  <c r="K31" i="37"/>
  <c r="W24" i="37"/>
  <c r="AG283" i="37"/>
  <c r="BW305" i="37"/>
  <c r="BX305" i="37"/>
  <c r="BW306" i="37"/>
  <c r="BX306" i="37"/>
  <c r="BX308" i="37"/>
  <c r="BC309" i="37"/>
  <c r="BD309" i="37"/>
  <c r="BC310" i="37"/>
  <c r="BD310" i="37"/>
  <c r="BD312" i="37"/>
  <c r="BZ108" i="37"/>
  <c r="AV208" i="37"/>
  <c r="AV207" i="37"/>
  <c r="AV206" i="37"/>
  <c r="AV205" i="37"/>
  <c r="AV204" i="37"/>
  <c r="AH184" i="37"/>
  <c r="G67" i="37"/>
  <c r="G64" i="37"/>
  <c r="G65" i="37"/>
  <c r="K34" i="37"/>
  <c r="G62" i="37"/>
  <c r="K33" i="37"/>
  <c r="G55" i="37"/>
  <c r="K32" i="37"/>
  <c r="G68" i="37"/>
  <c r="G70" i="37"/>
  <c r="G72" i="37"/>
  <c r="E68" i="37"/>
  <c r="E72" i="37"/>
  <c r="E57" i="36"/>
  <c r="E61" i="36"/>
  <c r="E66" i="37"/>
  <c r="G18" i="36"/>
  <c r="K19" i="37"/>
  <c r="K18" i="37"/>
  <c r="K17" i="37"/>
  <c r="BX317" i="37"/>
  <c r="BX316" i="37"/>
  <c r="BX315" i="37"/>
  <c r="BX314" i="37"/>
  <c r="BX313" i="37"/>
  <c r="BX312" i="37"/>
  <c r="BX217" i="37"/>
  <c r="BX216" i="37"/>
  <c r="BX215" i="37"/>
  <c r="BX164" i="37"/>
  <c r="BX163" i="37"/>
  <c r="BX162" i="37"/>
  <c r="BX161" i="37"/>
  <c r="BX160" i="37"/>
  <c r="BX159" i="37"/>
  <c r="BY144" i="37"/>
  <c r="BY143" i="37"/>
  <c r="BY142" i="37"/>
  <c r="BY141" i="37"/>
  <c r="BY140" i="37"/>
  <c r="BY139" i="37"/>
  <c r="BZ113" i="37"/>
  <c r="BZ112" i="37"/>
  <c r="BZ111" i="37"/>
  <c r="BZ110" i="37"/>
  <c r="BZ109" i="37"/>
  <c r="CH36" i="37"/>
  <c r="CH35" i="37"/>
  <c r="CH34" i="37"/>
  <c r="CH33" i="37"/>
  <c r="CH32" i="37"/>
  <c r="CH31" i="37"/>
  <c r="BD406" i="37"/>
  <c r="BD405" i="37"/>
  <c r="BD404" i="37"/>
  <c r="BD403" i="37"/>
  <c r="BD402" i="37"/>
  <c r="BD401" i="37"/>
  <c r="BE385" i="37"/>
  <c r="BE384" i="37"/>
  <c r="BE383" i="37"/>
  <c r="BE382" i="37"/>
  <c r="BE381" i="37"/>
  <c r="BE380" i="37"/>
  <c r="BD321" i="37"/>
  <c r="BD320" i="37"/>
  <c r="BD319" i="37"/>
  <c r="BD318" i="37"/>
  <c r="BD317" i="37"/>
  <c r="BD316" i="37"/>
  <c r="BI224" i="37"/>
  <c r="BI223" i="37"/>
  <c r="BI222" i="37"/>
  <c r="BI221" i="37"/>
  <c r="BI220" i="37"/>
  <c r="BI219" i="37"/>
  <c r="BE164" i="37"/>
  <c r="BE163" i="37"/>
  <c r="BE162" i="37"/>
  <c r="BE161" i="37"/>
  <c r="BE160" i="37"/>
  <c r="BE159" i="37"/>
  <c r="BE143" i="37"/>
  <c r="BE142" i="37"/>
  <c r="BE141" i="37"/>
  <c r="BE140" i="37"/>
  <c r="BE139" i="37"/>
  <c r="BE138" i="37"/>
  <c r="BG112" i="37"/>
  <c r="BG111" i="37"/>
  <c r="BG110" i="37"/>
  <c r="BG109" i="37"/>
  <c r="BG108" i="37"/>
  <c r="BG107" i="37"/>
  <c r="BL34" i="37"/>
  <c r="BL33" i="37"/>
  <c r="BL32" i="37"/>
  <c r="BL31" i="37"/>
  <c r="BL30" i="37"/>
  <c r="BL29" i="37"/>
  <c r="AI439" i="37"/>
  <c r="AI438" i="37"/>
  <c r="AI437" i="37"/>
  <c r="AI436" i="37"/>
  <c r="AI435" i="37"/>
  <c r="AJ418" i="37"/>
  <c r="AJ417" i="37"/>
  <c r="AJ416" i="37"/>
  <c r="AJ415" i="37"/>
  <c r="AJ414" i="37"/>
  <c r="AK398" i="37"/>
  <c r="AK397" i="37"/>
  <c r="AK396" i="37"/>
  <c r="AK395" i="37"/>
  <c r="AK394" i="37"/>
  <c r="AH345" i="37"/>
  <c r="AH311" i="37"/>
  <c r="AH310" i="37"/>
  <c r="AH309" i="37"/>
  <c r="AH308" i="37"/>
  <c r="AH307" i="37"/>
  <c r="AN268" i="37"/>
  <c r="AN267" i="37"/>
  <c r="AN266" i="37"/>
  <c r="AN265" i="37"/>
  <c r="AN264" i="37"/>
  <c r="AP174" i="37"/>
  <c r="AP173" i="37"/>
  <c r="AP172" i="37"/>
  <c r="AP171" i="37"/>
  <c r="AP170" i="37"/>
  <c r="AI147" i="37"/>
  <c r="AI146" i="37"/>
  <c r="AI145" i="37"/>
  <c r="AI144" i="37"/>
  <c r="AI143" i="37"/>
  <c r="AM116" i="37"/>
  <c r="AM115" i="37"/>
  <c r="AM114" i="37"/>
  <c r="AM113" i="37"/>
  <c r="AM112" i="37"/>
  <c r="AK77" i="37"/>
  <c r="AK76" i="37"/>
  <c r="AK75" i="37"/>
  <c r="AK74" i="37"/>
  <c r="AK73" i="37"/>
  <c r="F74" i="37"/>
  <c r="G75" i="37"/>
  <c r="F68" i="37"/>
  <c r="F72" i="37"/>
  <c r="AU38" i="37"/>
  <c r="AU37" i="37"/>
  <c r="AU36" i="37"/>
  <c r="AU35" i="37"/>
  <c r="AU34" i="37"/>
  <c r="K38" i="37"/>
  <c r="K36" i="37"/>
  <c r="K16" i="37"/>
  <c r="K14" i="37"/>
  <c r="F59" i="17"/>
  <c r="E55" i="17"/>
  <c r="E59" i="17"/>
  <c r="G43" i="36"/>
  <c r="G44" i="36"/>
  <c r="G46" i="36"/>
  <c r="G47" i="36"/>
  <c r="G48" i="36"/>
  <c r="G49" i="36"/>
  <c r="G50" i="36"/>
  <c r="G51" i="36"/>
  <c r="G53" i="36"/>
  <c r="K21" i="36"/>
  <c r="G45" i="36"/>
  <c r="K22" i="36"/>
  <c r="G52" i="36"/>
  <c r="K23" i="36"/>
  <c r="G54" i="36"/>
  <c r="G55" i="36"/>
  <c r="G56" i="36"/>
  <c r="K24" i="36"/>
  <c r="Z266" i="36"/>
  <c r="Z265" i="36"/>
  <c r="Z264" i="36"/>
  <c r="Z263" i="36"/>
  <c r="Z262" i="36"/>
  <c r="AD234" i="36"/>
  <c r="AD233" i="36"/>
  <c r="AD232" i="36"/>
  <c r="AD231" i="36"/>
  <c r="AD230" i="36"/>
  <c r="V416" i="36"/>
  <c r="V415" i="36"/>
  <c r="V414" i="36"/>
  <c r="V413" i="36"/>
  <c r="V412" i="36"/>
  <c r="U433" i="36"/>
  <c r="U437" i="36"/>
  <c r="U436" i="36"/>
  <c r="U435" i="36"/>
  <c r="U434" i="36"/>
  <c r="W396" i="36"/>
  <c r="W395" i="36"/>
  <c r="W394" i="36"/>
  <c r="W393" i="36"/>
  <c r="W392" i="36"/>
  <c r="AB168" i="36"/>
  <c r="AB172" i="36"/>
  <c r="AB171" i="36"/>
  <c r="AB170" i="36"/>
  <c r="AB169" i="36"/>
  <c r="Y114" i="36"/>
  <c r="Y113" i="36"/>
  <c r="Y112" i="36"/>
  <c r="Y111" i="36"/>
  <c r="Y110" i="36"/>
  <c r="AI203" i="36"/>
  <c r="AI206" i="36"/>
  <c r="AI205" i="36"/>
  <c r="AI204" i="36"/>
  <c r="AI202" i="36"/>
  <c r="AG34" i="36"/>
  <c r="AG38" i="36"/>
  <c r="AG37" i="36"/>
  <c r="AG36" i="36"/>
  <c r="AG35" i="36"/>
  <c r="G44" i="26"/>
  <c r="G45" i="26"/>
  <c r="G47" i="26"/>
  <c r="G48" i="26"/>
  <c r="G49" i="26"/>
  <c r="G50" i="26"/>
  <c r="G51" i="26"/>
  <c r="G53" i="26"/>
  <c r="K21" i="26"/>
  <c r="F63" i="36"/>
  <c r="G64" i="36"/>
  <c r="T343" i="36"/>
  <c r="T329" i="36"/>
  <c r="T328" i="36"/>
  <c r="T327" i="36"/>
  <c r="T326" i="36"/>
  <c r="T325" i="36"/>
  <c r="T309" i="36"/>
  <c r="T308" i="36"/>
  <c r="T307" i="36"/>
  <c r="T306" i="36"/>
  <c r="T305" i="36"/>
  <c r="U145" i="36"/>
  <c r="U144" i="36"/>
  <c r="U143" i="36"/>
  <c r="U142" i="36"/>
  <c r="U141" i="36"/>
  <c r="W77" i="36"/>
  <c r="W76" i="36"/>
  <c r="W75" i="36"/>
  <c r="W74" i="36"/>
  <c r="W73" i="36"/>
  <c r="G59" i="36"/>
  <c r="G57" i="36"/>
  <c r="G61" i="36"/>
  <c r="F61" i="36"/>
  <c r="F57" i="36"/>
  <c r="K28" i="36"/>
  <c r="K15" i="36"/>
  <c r="K14" i="36"/>
  <c r="AA362" i="26"/>
  <c r="T299" i="26"/>
  <c r="Y222" i="26"/>
  <c r="Y227" i="26"/>
  <c r="Y226" i="26"/>
  <c r="Y225" i="26"/>
  <c r="Y224" i="26"/>
  <c r="Y223" i="26"/>
  <c r="T409" i="26"/>
  <c r="T408" i="26"/>
  <c r="T407" i="26"/>
  <c r="T406" i="26"/>
  <c r="T405" i="26"/>
  <c r="T404" i="26"/>
  <c r="U388" i="26"/>
  <c r="U387" i="26"/>
  <c r="U386" i="26"/>
  <c r="U385" i="26"/>
  <c r="U384" i="26"/>
  <c r="U383" i="26"/>
  <c r="U167" i="26"/>
  <c r="U166" i="26"/>
  <c r="U165" i="26"/>
  <c r="U164" i="26"/>
  <c r="U163" i="26"/>
  <c r="U162" i="26"/>
  <c r="U141" i="26"/>
  <c r="X110" i="26"/>
  <c r="X115" i="26"/>
  <c r="X114" i="26"/>
  <c r="X113" i="26"/>
  <c r="X112" i="26"/>
  <c r="X111" i="26"/>
  <c r="T337" i="26"/>
  <c r="F63" i="26"/>
  <c r="G64" i="26"/>
  <c r="F61" i="17"/>
  <c r="G62" i="17"/>
  <c r="AF35" i="17"/>
  <c r="AF40" i="17"/>
  <c r="AF39" i="17"/>
  <c r="AF38" i="17"/>
  <c r="AF37" i="17"/>
  <c r="AF36" i="17"/>
  <c r="AB34" i="26"/>
  <c r="AB39" i="26"/>
  <c r="AB38" i="26"/>
  <c r="AB37" i="26"/>
  <c r="AB36" i="26"/>
  <c r="AB35" i="26"/>
  <c r="G46" i="26"/>
  <c r="G52" i="26"/>
  <c r="G54" i="26"/>
  <c r="G55" i="26"/>
  <c r="G56" i="26"/>
  <c r="K24" i="26"/>
  <c r="K22" i="26"/>
  <c r="K23" i="26"/>
  <c r="K26" i="26"/>
  <c r="G57" i="26"/>
  <c r="F57" i="26"/>
  <c r="E57" i="26"/>
  <c r="AA367" i="26"/>
  <c r="AA366" i="26"/>
  <c r="AA365" i="26"/>
  <c r="AA364" i="26"/>
  <c r="AA363" i="26"/>
  <c r="T324" i="26"/>
  <c r="T323" i="26"/>
  <c r="T322" i="26"/>
  <c r="T321" i="26"/>
  <c r="T320" i="26"/>
  <c r="T319" i="26"/>
  <c r="T304" i="26"/>
  <c r="T303" i="26"/>
  <c r="T302" i="26"/>
  <c r="T301" i="26"/>
  <c r="T300" i="26"/>
  <c r="W266" i="26"/>
  <c r="W265" i="26"/>
  <c r="W264" i="26"/>
  <c r="W263" i="26"/>
  <c r="W262" i="26"/>
  <c r="W261" i="26"/>
  <c r="AG201" i="26"/>
  <c r="AG200" i="26"/>
  <c r="AG199" i="26"/>
  <c r="AG198" i="26"/>
  <c r="AG197" i="26"/>
  <c r="AG196" i="26"/>
  <c r="U146" i="26"/>
  <c r="U145" i="26"/>
  <c r="U144" i="26"/>
  <c r="U143" i="26"/>
  <c r="U142" i="26"/>
  <c r="W78" i="26"/>
  <c r="W77" i="26"/>
  <c r="W76" i="26"/>
  <c r="W75" i="26"/>
  <c r="W74" i="26"/>
  <c r="W73" i="26"/>
  <c r="G59" i="26"/>
  <c r="G61" i="26"/>
  <c r="F61" i="26"/>
  <c r="E61" i="26"/>
  <c r="K28" i="26"/>
  <c r="K15" i="26"/>
  <c r="K14" i="26"/>
  <c r="F55" i="17"/>
  <c r="G57" i="17"/>
  <c r="K28" i="17"/>
  <c r="G52" i="17"/>
  <c r="G53" i="17"/>
  <c r="G54" i="17"/>
  <c r="K24" i="17"/>
  <c r="G50" i="17"/>
  <c r="K23" i="17"/>
  <c r="G46" i="17"/>
  <c r="K22" i="17"/>
  <c r="G47" i="17"/>
  <c r="G44" i="17"/>
  <c r="G45" i="17"/>
  <c r="G48" i="17"/>
  <c r="G49" i="17"/>
  <c r="G51" i="17"/>
  <c r="K21" i="17"/>
  <c r="G55" i="17"/>
  <c r="Y115" i="17"/>
  <c r="Y114" i="17"/>
  <c r="Y113" i="17"/>
  <c r="Y112" i="17"/>
  <c r="Y111" i="17"/>
  <c r="Y110" i="17"/>
  <c r="K15" i="17"/>
  <c r="Y261" i="17"/>
  <c r="Y260" i="17"/>
  <c r="Y259" i="17"/>
  <c r="Y258" i="17"/>
  <c r="Y257" i="17"/>
  <c r="Y256" i="17"/>
  <c r="V166" i="17"/>
  <c r="V165" i="17"/>
  <c r="V164" i="17"/>
  <c r="V163" i="17"/>
  <c r="V162" i="17"/>
  <c r="V161" i="17"/>
  <c r="W146" i="17"/>
  <c r="W145" i="17"/>
  <c r="W144" i="17"/>
  <c r="W143" i="17"/>
  <c r="W142" i="17"/>
  <c r="W141" i="17"/>
  <c r="Y78" i="17"/>
  <c r="Y77" i="17"/>
  <c r="Y76" i="17"/>
  <c r="Y75" i="17"/>
  <c r="Y74" i="17"/>
  <c r="Y73" i="17"/>
  <c r="V319" i="17"/>
  <c r="V318" i="17"/>
  <c r="V317" i="17"/>
  <c r="V316" i="17"/>
  <c r="V315" i="17"/>
  <c r="V314" i="17"/>
  <c r="V299" i="17"/>
  <c r="V298" i="17"/>
  <c r="V297" i="17"/>
  <c r="V296" i="17"/>
  <c r="V295" i="17"/>
  <c r="V294" i="17"/>
  <c r="AC362" i="17"/>
  <c r="AC361" i="17"/>
  <c r="AC360" i="17"/>
  <c r="AC359" i="17"/>
  <c r="AC358" i="17"/>
  <c r="AC357" i="17"/>
  <c r="AI201" i="17"/>
  <c r="AI200" i="17"/>
  <c r="AI199" i="17"/>
  <c r="AI198" i="17"/>
  <c r="AI197" i="17"/>
  <c r="AI196" i="17"/>
  <c r="K14" i="17"/>
  <c r="V217" i="17"/>
  <c r="V222" i="17"/>
  <c r="V221" i="17"/>
  <c r="V220" i="17"/>
  <c r="V219" i="17"/>
  <c r="V218" i="17"/>
  <c r="AU7" i="38"/>
  <c r="E37" i="38"/>
  <c r="E20" i="38"/>
  <c r="AU3" i="38"/>
  <c r="E23" i="38"/>
  <c r="E50" i="38"/>
  <c r="E48" i="38"/>
  <c r="V38" i="38"/>
  <c r="V24" i="38"/>
  <c r="E8" i="38"/>
  <c r="AC6" i="38"/>
  <c r="E6" i="38"/>
  <c r="V52" i="38"/>
  <c r="V10" i="38"/>
  <c r="AI3" i="38"/>
  <c r="E35" i="38"/>
  <c r="E22" i="38"/>
  <c r="E21" i="38"/>
  <c r="E34" i="38"/>
  <c r="E49" i="38"/>
  <c r="E51" i="38"/>
  <c r="AO10" i="38"/>
  <c r="E36" i="38"/>
  <c r="F34" i="38"/>
  <c r="F35" i="38"/>
  <c r="F36" i="38"/>
  <c r="G17" i="38"/>
  <c r="G18" i="38"/>
  <c r="F6" i="38"/>
  <c r="F7" i="38"/>
  <c r="F8" i="38"/>
  <c r="E53" i="38"/>
  <c r="E39" i="38"/>
  <c r="E25" i="38"/>
  <c r="A27" i="38"/>
  <c r="A26" i="38"/>
  <c r="Q25" i="38"/>
  <c r="U23" i="38"/>
  <c r="S23" i="38"/>
  <c r="Q23" i="38"/>
  <c r="J23" i="38"/>
  <c r="H23" i="38"/>
  <c r="U22" i="38"/>
  <c r="S22" i="38"/>
  <c r="Q22" i="38"/>
  <c r="J22" i="38"/>
  <c r="H22" i="38"/>
  <c r="U21" i="38"/>
  <c r="S21" i="38"/>
  <c r="Q21" i="38"/>
  <c r="T20" i="38"/>
  <c r="R20" i="38"/>
  <c r="P20" i="38"/>
  <c r="K20" i="38"/>
  <c r="I20" i="38"/>
  <c r="G20" i="38"/>
  <c r="O18" i="38"/>
  <c r="L18" i="38"/>
  <c r="J18" i="38"/>
  <c r="H18" i="38"/>
  <c r="U17" i="38"/>
  <c r="Q17" i="38"/>
  <c r="A28" i="38"/>
  <c r="C26" i="38"/>
  <c r="U25" i="38"/>
  <c r="T23" i="38"/>
  <c r="R23" i="38"/>
  <c r="K23" i="38"/>
  <c r="I23" i="38"/>
  <c r="G23" i="38"/>
  <c r="T22" i="38"/>
  <c r="R22" i="38"/>
  <c r="K22" i="38"/>
  <c r="I22" i="38"/>
  <c r="G22" i="38"/>
  <c r="T21" i="38"/>
  <c r="R21" i="38"/>
  <c r="O21" i="38"/>
  <c r="U20" i="38"/>
  <c r="S20" i="38"/>
  <c r="Q20" i="38"/>
  <c r="N20" i="38"/>
  <c r="J20" i="38"/>
  <c r="H20" i="38"/>
  <c r="P18" i="38"/>
  <c r="N18" i="38"/>
  <c r="BG3" i="38"/>
  <c r="BA4" i="38"/>
  <c r="AC5" i="38"/>
  <c r="AO5" i="38"/>
  <c r="BA5" i="38"/>
  <c r="BM5" i="38"/>
  <c r="AO6" i="38"/>
  <c r="BA6" i="38"/>
  <c r="BM6" i="38"/>
  <c r="AI7" i="38"/>
  <c r="BG7" i="38"/>
  <c r="AI8" i="38"/>
  <c r="AU8" i="38"/>
  <c r="BG8" i="38"/>
  <c r="AC4" i="38"/>
  <c r="AO4" i="38"/>
  <c r="BM4" i="38"/>
  <c r="AH9" i="38"/>
  <c r="AI9" i="38"/>
  <c r="AO9" i="38"/>
  <c r="BA9" i="38"/>
  <c r="BM9" i="38"/>
  <c r="AC10" i="38"/>
  <c r="BA10" i="38"/>
  <c r="BM10" i="38"/>
  <c r="AI11" i="38"/>
  <c r="AU11" i="38"/>
  <c r="BG11" i="38"/>
  <c r="AI12" i="38"/>
  <c r="AU12" i="38"/>
  <c r="BG12" i="38"/>
  <c r="AC14" i="38"/>
  <c r="AO14" i="38"/>
  <c r="BA14" i="38"/>
  <c r="BM14" i="38"/>
  <c r="AC15" i="38"/>
  <c r="AO15" i="38"/>
  <c r="BA15" i="38"/>
  <c r="BM15" i="38"/>
  <c r="AC16" i="38"/>
  <c r="AO16" i="38"/>
  <c r="BA16" i="38"/>
  <c r="BM16" i="38"/>
  <c r="AC17" i="38"/>
  <c r="AO17" i="38"/>
  <c r="BA17" i="38"/>
  <c r="BM17" i="38"/>
  <c r="K26" i="36"/>
  <c r="T428" i="36"/>
  <c r="T24" i="36"/>
  <c r="V127" i="17"/>
  <c r="BA26" i="26"/>
  <c r="U327" i="17"/>
  <c r="V327" i="17"/>
  <c r="U331" i="17"/>
  <c r="V331" i="17"/>
  <c r="AH390" i="37"/>
  <c r="AB389" i="37"/>
  <c r="AA390" i="37"/>
  <c r="U333" i="17"/>
  <c r="V333" i="17"/>
  <c r="K26" i="17"/>
  <c r="T388" i="36"/>
  <c r="T164" i="36"/>
  <c r="T91" i="36"/>
  <c r="V237" i="17"/>
  <c r="V55" i="17"/>
  <c r="BH44" i="17"/>
  <c r="BI44" i="17"/>
  <c r="BD11" i="36"/>
  <c r="T226" i="36"/>
  <c r="G23" i="36"/>
  <c r="T399" i="26"/>
  <c r="T315" i="26"/>
  <c r="S338" i="26"/>
  <c r="T338" i="26"/>
  <c r="T158" i="26"/>
  <c r="T91" i="26"/>
  <c r="T24" i="26"/>
  <c r="S332" i="26"/>
  <c r="T332" i="26"/>
  <c r="T345" i="26"/>
  <c r="BX89" i="37"/>
  <c r="Z92" i="37"/>
  <c r="AH24" i="37"/>
  <c r="AH200" i="37"/>
  <c r="AA200" i="37"/>
  <c r="AH55" i="37"/>
  <c r="AA55" i="37"/>
  <c r="O24" i="37"/>
  <c r="G59" i="17"/>
  <c r="AT48" i="17"/>
  <c r="AV48" i="17"/>
  <c r="AS25" i="36"/>
  <c r="BA16" i="26"/>
  <c r="T198" i="36"/>
  <c r="G22" i="36"/>
  <c r="BD155" i="37"/>
  <c r="AA165" i="37"/>
  <c r="AH166" i="37"/>
  <c r="AB165" i="37"/>
  <c r="AA166" i="37"/>
  <c r="BX125" i="37"/>
  <c r="Z128" i="37"/>
  <c r="BD88" i="37"/>
  <c r="AA92" i="37"/>
  <c r="AH129" i="37"/>
  <c r="AB128" i="37"/>
  <c r="BC120" i="37"/>
  <c r="BD120" i="37"/>
  <c r="BD124" i="37"/>
  <c r="AA128" i="37"/>
  <c r="AH284" i="37"/>
  <c r="AH293" i="37"/>
  <c r="AA293" i="37"/>
  <c r="S20" i="37"/>
  <c r="S21" i="37"/>
  <c r="S22" i="37"/>
  <c r="CP6" i="37"/>
  <c r="CX19" i="37"/>
  <c r="AH93" i="37"/>
  <c r="AB92" i="37"/>
  <c r="AH323" i="37"/>
  <c r="AA323" i="37"/>
  <c r="AH254" i="37"/>
  <c r="AA254" i="37"/>
  <c r="BX211" i="37"/>
  <c r="Z227" i="37"/>
  <c r="BD215" i="37"/>
  <c r="AA227" i="37"/>
  <c r="AG216" i="37"/>
  <c r="AH216" i="37"/>
  <c r="AH228" i="37"/>
  <c r="AB227" i="37"/>
  <c r="K21" i="38"/>
  <c r="H21" i="38"/>
  <c r="J21" i="38"/>
  <c r="K26" i="38"/>
  <c r="G21" i="38"/>
  <c r="I21" i="38"/>
  <c r="E9" i="38"/>
  <c r="E7" i="38"/>
  <c r="G46" i="38"/>
  <c r="K46" i="38"/>
  <c r="P46" i="38"/>
  <c r="Q48" i="38"/>
  <c r="J49" i="38"/>
  <c r="R49" i="38"/>
  <c r="G50" i="38"/>
  <c r="K50" i="38"/>
  <c r="T50" i="38"/>
  <c r="I51" i="38"/>
  <c r="R51" i="38"/>
  <c r="Q45" i="38"/>
  <c r="H46" i="38"/>
  <c r="L46" i="38"/>
  <c r="R48" i="38"/>
  <c r="G49" i="38"/>
  <c r="K49" i="38"/>
  <c r="H50" i="38"/>
  <c r="Q50" i="38"/>
  <c r="J51" i="38"/>
  <c r="S51" i="38"/>
  <c r="F39" i="38"/>
  <c r="H25" i="38"/>
  <c r="F11" i="38"/>
  <c r="J25" i="38"/>
  <c r="G25" i="38"/>
  <c r="K25" i="38"/>
  <c r="K27" i="38"/>
  <c r="I25" i="38"/>
  <c r="E11" i="38"/>
  <c r="Q20" i="37"/>
  <c r="Q21" i="37"/>
  <c r="U21" i="37"/>
  <c r="AG340" i="37"/>
  <c r="AH340" i="37"/>
  <c r="AG344" i="37"/>
  <c r="AH344" i="37"/>
  <c r="AG346" i="37"/>
  <c r="AH346" i="37"/>
  <c r="AB23" i="37"/>
  <c r="AA24" i="37"/>
  <c r="V340" i="17"/>
  <c r="AA228" i="37"/>
  <c r="G33" i="37"/>
  <c r="AA129" i="37"/>
  <c r="AA93" i="37"/>
  <c r="S336" i="26"/>
  <c r="T336" i="26"/>
  <c r="Q22" i="37"/>
  <c r="U22" i="37"/>
  <c r="S338" i="36"/>
  <c r="T338" i="36"/>
  <c r="T351" i="36"/>
  <c r="S342" i="36"/>
  <c r="T342" i="36"/>
  <c r="S344" i="36"/>
  <c r="T344" i="36"/>
  <c r="K48" i="38"/>
  <c r="G48" i="38"/>
  <c r="G26" i="38"/>
  <c r="J26" i="38"/>
  <c r="H26" i="38"/>
  <c r="I26" i="38"/>
  <c r="A55" i="38"/>
  <c r="U51" i="38"/>
  <c r="H51" i="38"/>
  <c r="J50" i="38"/>
  <c r="Q49" i="38"/>
  <c r="T48" i="38"/>
  <c r="J46" i="38"/>
  <c r="A56" i="38"/>
  <c r="T51" i="38"/>
  <c r="G51" i="38"/>
  <c r="G53" i="38"/>
  <c r="I50" i="38"/>
  <c r="O49" i="38"/>
  <c r="I46" i="38"/>
  <c r="G45" i="38"/>
  <c r="A54" i="38"/>
  <c r="Q51" i="38"/>
  <c r="I49" i="38"/>
  <c r="P48" i="38"/>
  <c r="O46" i="38"/>
  <c r="U45" i="38"/>
  <c r="C54" i="38"/>
  <c r="K51" i="38"/>
  <c r="K53" i="38"/>
  <c r="R50" i="38"/>
  <c r="T49" i="38"/>
  <c r="H49" i="38"/>
  <c r="N48" i="38"/>
  <c r="N46" i="38"/>
  <c r="S45" i="38"/>
  <c r="A41" i="38"/>
  <c r="Q39" i="38"/>
  <c r="S37" i="38"/>
  <c r="U36" i="38"/>
  <c r="Q36" i="38"/>
  <c r="S35" i="38"/>
  <c r="K35" i="38"/>
  <c r="G35" i="38"/>
  <c r="R34" i="38"/>
  <c r="K34" i="38"/>
  <c r="G34" i="38"/>
  <c r="L32" i="38"/>
  <c r="H32" i="38"/>
  <c r="Q31" i="38"/>
  <c r="C40" i="38"/>
  <c r="T37" i="38"/>
  <c r="R36" i="38"/>
  <c r="T35" i="38"/>
  <c r="O35" i="38"/>
  <c r="H35" i="38"/>
  <c r="S34" i="38"/>
  <c r="N34" i="38"/>
  <c r="H34" i="38"/>
  <c r="N32" i="38"/>
  <c r="I32" i="38"/>
  <c r="S31" i="38"/>
  <c r="A40" i="38"/>
  <c r="U37" i="38"/>
  <c r="Q37" i="38"/>
  <c r="S36" i="38"/>
  <c r="U35" i="38"/>
  <c r="Q35" i="38"/>
  <c r="I35" i="38"/>
  <c r="T34" i="38"/>
  <c r="P34" i="38"/>
  <c r="I34" i="38"/>
  <c r="O32" i="38"/>
  <c r="J32" i="38"/>
  <c r="U31" i="38"/>
  <c r="A42" i="38"/>
  <c r="U39" i="38"/>
  <c r="R37" i="38"/>
  <c r="T36" i="38"/>
  <c r="R35" i="38"/>
  <c r="J35" i="38"/>
  <c r="U34" i="38"/>
  <c r="Q34" i="38"/>
  <c r="J34" i="38"/>
  <c r="P32" i="38"/>
  <c r="K32" i="38"/>
  <c r="G32" i="38"/>
  <c r="G31" i="38"/>
  <c r="I27" i="38"/>
  <c r="H27" i="38"/>
  <c r="A13" i="38"/>
  <c r="Q11" i="38"/>
  <c r="U11" i="38"/>
  <c r="R9" i="38"/>
  <c r="I9" i="38"/>
  <c r="T8" i="38"/>
  <c r="K8" i="38"/>
  <c r="G8" i="38"/>
  <c r="R7" i="38"/>
  <c r="J7" i="38"/>
  <c r="U6" i="38"/>
  <c r="Q6" i="38"/>
  <c r="P4" i="38"/>
  <c r="K4" i="38"/>
  <c r="G4" i="38"/>
  <c r="G3" i="38"/>
  <c r="Q3" i="38"/>
  <c r="U9" i="38"/>
  <c r="Q9" i="38"/>
  <c r="H9" i="38"/>
  <c r="S8" i="38"/>
  <c r="J8" i="38"/>
  <c r="U7" i="38"/>
  <c r="Q7" i="38"/>
  <c r="I7" i="38"/>
  <c r="T6" i="38"/>
  <c r="P6" i="38"/>
  <c r="O4" i="38"/>
  <c r="J4" i="38"/>
  <c r="A12" i="38"/>
  <c r="A14" i="38"/>
  <c r="T9" i="38"/>
  <c r="K9" i="38"/>
  <c r="G9" i="38"/>
  <c r="R8" i="38"/>
  <c r="I8" i="38"/>
  <c r="T7" i="38"/>
  <c r="O7" i="38"/>
  <c r="H7" i="38"/>
  <c r="S6" i="38"/>
  <c r="N6" i="38"/>
  <c r="N4" i="38"/>
  <c r="I4" i="38"/>
  <c r="S3" i="38"/>
  <c r="U3" i="38"/>
  <c r="C12" i="38"/>
  <c r="S9" i="38"/>
  <c r="J9" i="38"/>
  <c r="U8" i="38"/>
  <c r="Q8" i="38"/>
  <c r="H8" i="38"/>
  <c r="S7" i="38"/>
  <c r="K7" i="38"/>
  <c r="G7" i="38"/>
  <c r="R6" i="38"/>
  <c r="L4" i="38"/>
  <c r="H4" i="38"/>
  <c r="J27" i="38"/>
  <c r="G27" i="38"/>
  <c r="X22" i="37"/>
  <c r="G25" i="37"/>
  <c r="X21" i="37"/>
  <c r="G24" i="37"/>
  <c r="AH353" i="37"/>
  <c r="AA353" i="37"/>
  <c r="U20" i="37"/>
  <c r="Q24" i="37"/>
  <c r="H48" i="38"/>
  <c r="J48" i="38"/>
  <c r="I48" i="38"/>
  <c r="G6" i="38"/>
  <c r="J37" i="38"/>
  <c r="G36" i="38"/>
  <c r="J36" i="38"/>
  <c r="I36" i="38"/>
  <c r="K6" i="38"/>
  <c r="I6" i="38"/>
  <c r="G37" i="38"/>
  <c r="H37" i="38"/>
  <c r="J6" i="38"/>
  <c r="I37" i="38"/>
  <c r="K37" i="38"/>
  <c r="H36" i="38"/>
  <c r="H6" i="38"/>
  <c r="L27" i="38"/>
  <c r="V20" i="38"/>
  <c r="Q53" i="38"/>
  <c r="I53" i="38"/>
  <c r="J53" i="38"/>
  <c r="H53" i="38"/>
  <c r="J39" i="38"/>
  <c r="H39" i="38"/>
  <c r="I39" i="38"/>
  <c r="G39" i="38"/>
  <c r="I11" i="38"/>
  <c r="H11" i="38"/>
  <c r="J11" i="38"/>
  <c r="G11" i="38"/>
  <c r="K11" i="38"/>
  <c r="X20" i="37"/>
  <c r="X27" i="37"/>
  <c r="U24" i="37"/>
  <c r="X24" i="37"/>
  <c r="G23" i="37"/>
  <c r="K54" i="38"/>
  <c r="I54" i="38"/>
  <c r="H54" i="38"/>
  <c r="J54" i="38"/>
  <c r="G54" i="38"/>
  <c r="K40" i="38"/>
  <c r="J12" i="38"/>
  <c r="G40" i="38"/>
  <c r="K12" i="38"/>
  <c r="J40" i="38"/>
  <c r="I40" i="38"/>
  <c r="K36" i="38"/>
  <c r="I12" i="38"/>
  <c r="H40" i="38"/>
  <c r="H12" i="38"/>
  <c r="G12" i="38"/>
  <c r="G55" i="38"/>
  <c r="J55" i="38"/>
  <c r="K55" i="38"/>
  <c r="H55" i="38"/>
  <c r="I55" i="38"/>
  <c r="V23" i="38"/>
  <c r="K39" i="38"/>
  <c r="K41" i="38"/>
  <c r="G41" i="38"/>
  <c r="I41" i="38"/>
  <c r="H41" i="38"/>
  <c r="J41" i="38"/>
  <c r="V22" i="38"/>
  <c r="V21" i="38"/>
  <c r="W21" i="38"/>
  <c r="J13" i="38"/>
  <c r="K13" i="38"/>
  <c r="G13" i="38"/>
  <c r="H13" i="38"/>
  <c r="L25" i="38"/>
  <c r="L26" i="38"/>
  <c r="E28" i="38"/>
  <c r="G17" i="26"/>
  <c r="I13" i="38"/>
  <c r="L41" i="38"/>
  <c r="L13" i="38"/>
  <c r="I19" i="26"/>
  <c r="G24" i="26"/>
  <c r="G26" i="26"/>
  <c r="G28" i="26"/>
  <c r="G19" i="26"/>
  <c r="G65" i="26"/>
  <c r="L30" i="26"/>
  <c r="G16" i="26"/>
  <c r="V51" i="38"/>
  <c r="L53" i="38"/>
  <c r="L54" i="38"/>
  <c r="E56" i="38"/>
  <c r="L39" i="38"/>
  <c r="L40" i="38"/>
  <c r="E42" i="38"/>
  <c r="G17" i="36"/>
  <c r="V35" i="38"/>
  <c r="V37" i="38"/>
  <c r="V34" i="38"/>
  <c r="V36" i="38"/>
  <c r="W36" i="38"/>
  <c r="L11" i="38"/>
  <c r="L12" i="38"/>
  <c r="E14" i="38"/>
  <c r="G17" i="17"/>
  <c r="V8" i="38"/>
  <c r="V6" i="38"/>
  <c r="W6" i="38"/>
  <c r="V9" i="38"/>
  <c r="V7" i="38"/>
  <c r="I19" i="36"/>
  <c r="G24" i="36"/>
  <c r="G26" i="36"/>
  <c r="G28" i="36"/>
  <c r="G16" i="36"/>
  <c r="G19" i="36"/>
  <c r="G65" i="36"/>
  <c r="L30" i="36"/>
  <c r="I19" i="17"/>
  <c r="G24" i="17"/>
  <c r="G26" i="17"/>
  <c r="G28" i="17"/>
  <c r="G19" i="17"/>
  <c r="G63" i="17"/>
  <c r="L30" i="17"/>
  <c r="G16" i="17"/>
  <c r="S49" i="38"/>
  <c r="U49" i="38"/>
  <c r="V49" i="38"/>
  <c r="H24" i="37"/>
  <c r="S48" i="38"/>
  <c r="U48" i="38"/>
  <c r="S50" i="38"/>
  <c r="U50" i="38"/>
  <c r="V50" i="38"/>
  <c r="H25" i="37"/>
  <c r="W50" i="38"/>
  <c r="W49" i="38"/>
  <c r="U53" i="38"/>
  <c r="V48" i="38"/>
  <c r="H23" i="37"/>
  <c r="W48" i="38"/>
  <c r="G26" i="37"/>
  <c r="I26" i="37"/>
  <c r="G29" i="37"/>
  <c r="G76" i="37"/>
  <c r="L40" i="37"/>
  <c r="G31" i="37"/>
  <c r="G32" i="37"/>
  <c r="G34" i="37"/>
  <c r="G36" i="37"/>
  <c r="G38" i="37"/>
</calcChain>
</file>

<file path=xl/sharedStrings.xml><?xml version="1.0" encoding="utf-8"?>
<sst xmlns="http://schemas.openxmlformats.org/spreadsheetml/2006/main" count="3901" uniqueCount="981">
  <si>
    <t>Family and Consumer Science Spaces</t>
  </si>
  <si>
    <t>M-PE</t>
  </si>
  <si>
    <t>Physical Education Spaces</t>
  </si>
  <si>
    <t>M-SD</t>
  </si>
  <si>
    <t>Student Dining Spaces</t>
  </si>
  <si>
    <t>M-FS</t>
  </si>
  <si>
    <t>Food Service Spaces</t>
  </si>
  <si>
    <t>M-CU</t>
  </si>
  <si>
    <t>Custodial Spaces</t>
  </si>
  <si>
    <t>M-BS</t>
  </si>
  <si>
    <t>Building Services</t>
  </si>
  <si>
    <t>Total Adjusted GSF Developed (without Oversize Area)</t>
  </si>
  <si>
    <t>Difference of GSF developed from GSF allowable</t>
  </si>
  <si>
    <t>TOTAL SF</t>
  </si>
  <si>
    <t>PROGRAM AREA</t>
  </si>
  <si>
    <t>M-AC</t>
  </si>
  <si>
    <t>Academic Core Spaces</t>
  </si>
  <si>
    <t>M-SE</t>
  </si>
  <si>
    <t>Special Education Spaces</t>
  </si>
  <si>
    <t>M-AD</t>
  </si>
  <si>
    <t>Administrative Spaces</t>
  </si>
  <si>
    <t>M-MC</t>
  </si>
  <si>
    <t>Media Center Spaces</t>
  </si>
  <si>
    <t>Number</t>
  </si>
  <si>
    <t>Notes:</t>
  </si>
  <si>
    <t>Adjusted Existing Area</t>
  </si>
  <si>
    <t>M-VA</t>
  </si>
  <si>
    <t>Visual Arts Spaces</t>
  </si>
  <si>
    <t>M-MU</t>
  </si>
  <si>
    <t>Music Spaces</t>
  </si>
  <si>
    <t>M-TE</t>
  </si>
  <si>
    <t>Technology Education Spaces</t>
  </si>
  <si>
    <t>M-FCS</t>
  </si>
  <si>
    <t>New SF</t>
  </si>
  <si>
    <t>Ohio School Design Manual</t>
  </si>
  <si>
    <t>Ohio School Facilities Commission</t>
  </si>
  <si>
    <t>See Note 2</t>
  </si>
  <si>
    <t>CHAPTER 2:  BRACKETING</t>
  </si>
  <si>
    <t>SF</t>
  </si>
  <si>
    <t>See Note 3</t>
  </si>
  <si>
    <t>-</t>
  </si>
  <si>
    <t>See Note 1</t>
  </si>
  <si>
    <t>6-8</t>
  </si>
  <si>
    <t>SCLE POR SUMMARY</t>
  </si>
  <si>
    <t>STUDENT CENTERED LEARNING ENVIRONMENT - SUMMARY OF SPACES WORKSHEET</t>
  </si>
  <si>
    <t xml:space="preserve">Enter Grade Configuration </t>
  </si>
  <si>
    <t>Food Service Spaces / Custodial Spaces / Building Services</t>
  </si>
  <si>
    <t>MAXIMUM</t>
  </si>
  <si>
    <t>MINIMUM</t>
  </si>
  <si>
    <t>Sample School District, SAMPLE ELEMENTARY SCLE</t>
  </si>
  <si>
    <t>ELEMENTARY SCHOOL</t>
  </si>
  <si>
    <t>HIGH SCHOOL</t>
  </si>
  <si>
    <t>MIDDLE SCHOOL</t>
  </si>
  <si>
    <t>E-AC</t>
  </si>
  <si>
    <t>E-SE</t>
  </si>
  <si>
    <t>E-AD</t>
  </si>
  <si>
    <t>E-MC</t>
  </si>
  <si>
    <t>E-VA</t>
  </si>
  <si>
    <t>E-MU</t>
  </si>
  <si>
    <t>E-PE</t>
  </si>
  <si>
    <t>E-SD</t>
  </si>
  <si>
    <t>E-FS</t>
  </si>
  <si>
    <t>E-CU</t>
  </si>
  <si>
    <t>E-BS</t>
  </si>
  <si>
    <t>Exist. SF*</t>
  </si>
  <si>
    <t>Minus exist. co-funded Oversize Area from Master Plan</t>
  </si>
  <si>
    <t>H-AC</t>
  </si>
  <si>
    <t>H-SE</t>
  </si>
  <si>
    <t>H-AD</t>
  </si>
  <si>
    <t>H-MC</t>
  </si>
  <si>
    <t>H-VA</t>
  </si>
  <si>
    <t>H-MU</t>
  </si>
  <si>
    <t>H-TE</t>
  </si>
  <si>
    <t>H-BE</t>
  </si>
  <si>
    <t>Business Education Spaces</t>
  </si>
  <si>
    <t>H-FCS</t>
  </si>
  <si>
    <t>H-PE</t>
  </si>
  <si>
    <t>H-SD</t>
  </si>
  <si>
    <t>H-FS</t>
  </si>
  <si>
    <t>H-CU</t>
  </si>
  <si>
    <t>H-BS</t>
  </si>
  <si>
    <t>Enter grade configuration.</t>
  </si>
  <si>
    <t>Includes all spaces included in traditional bracketing program areas identified under E-AD Administrative Spaces.</t>
  </si>
  <si>
    <t>Includes all spaces included in traditional bracketing program areas identified under E-FS Food Service Spaces, E-CU Custodial Spaces, E-BS Building Service Spaces.</t>
  </si>
  <si>
    <t>Includes all spaces included in traditional bracketing program areas identified under M-AD Administrative Spaces.</t>
  </si>
  <si>
    <t>Includes all spaces included in traditional bracketing program areas identified under M-FS Food Service Spaces, M-CU Custodial Spaces, M-BS Building Service Spaces.</t>
  </si>
  <si>
    <t>Includes all spaces included in traditional bracketing program areas identified under H-AD Administrative Spaces.</t>
  </si>
  <si>
    <t>Includes all spaces included in traditional bracketing program areas identified under H-FS Food Service Spaces, H-CU Custodial Spaces, H-BS Building Service Spaces.</t>
  </si>
  <si>
    <t>Food Service Area</t>
  </si>
  <si>
    <t>Enroll</t>
  </si>
  <si>
    <t>X</t>
  </si>
  <si>
    <t>SF/Student</t>
  </si>
  <si>
    <t>x</t>
  </si>
  <si>
    <t>%</t>
  </si>
  <si>
    <t>Preparation Area</t>
  </si>
  <si>
    <t>Dry Food Storage</t>
  </si>
  <si>
    <t>Warming Kitchen</t>
  </si>
  <si>
    <t>Multiply Enrollment x SF/Student x % to achieve size of area</t>
  </si>
  <si>
    <t>E-FS-2</t>
  </si>
  <si>
    <t>Dietician Office</t>
  </si>
  <si>
    <t>E-FS-3</t>
  </si>
  <si>
    <t>Restroom/Locker Rm</t>
  </si>
  <si>
    <t>Square Footage Allowance Notes</t>
  </si>
  <si>
    <t>Student Enrollment</t>
  </si>
  <si>
    <t>350-400 Students</t>
  </si>
  <si>
    <t>401-550 Students</t>
  </si>
  <si>
    <t>551-700 Students</t>
  </si>
  <si>
    <t>701-1000 Students</t>
  </si>
  <si>
    <t>1001-1500 Students</t>
  </si>
  <si>
    <t>1501-2000 Students</t>
  </si>
  <si>
    <t>Enrollment Determines SF Allowed</t>
  </si>
  <si>
    <t>E-CU-2</t>
  </si>
  <si>
    <t>Custodial Office</t>
  </si>
  <si>
    <t>Building Services Area Sizes</t>
  </si>
  <si>
    <t>Building Services Areas</t>
  </si>
  <si>
    <t>Prog</t>
  </si>
  <si>
    <t>Large Group Restrooms</t>
  </si>
  <si>
    <t>Corridors</t>
  </si>
  <si>
    <t>Mechanical/Electrical Space/Decks</t>
  </si>
  <si>
    <t>Multiply Sum of Program Areas - Building Services x % to achieve size of area</t>
  </si>
  <si>
    <t>Administrative Worksheet</t>
  </si>
  <si>
    <t>Space</t>
  </si>
  <si>
    <t>Qty</t>
  </si>
  <si>
    <t>Area</t>
  </si>
  <si>
    <t>E-AD-1</t>
  </si>
  <si>
    <t>Reception Area</t>
  </si>
  <si>
    <t>E-AD-2</t>
  </si>
  <si>
    <t>Secretarial  Area</t>
  </si>
  <si>
    <t>E-AD-3</t>
  </si>
  <si>
    <t>Principal's Office</t>
  </si>
  <si>
    <t>E-AD-4</t>
  </si>
  <si>
    <t>Assistant Principal's Office</t>
  </si>
  <si>
    <t>E-AD-5</t>
  </si>
  <si>
    <t>Conference Room</t>
  </si>
  <si>
    <t>E-AD-6</t>
  </si>
  <si>
    <t>Mail/Work/Copy Room</t>
  </si>
  <si>
    <t>E-AD-7</t>
  </si>
  <si>
    <t>Administrative Storage</t>
  </si>
  <si>
    <t>E-AD-8</t>
  </si>
  <si>
    <t>Vault/Records Storage</t>
  </si>
  <si>
    <t>E-AD-9</t>
  </si>
  <si>
    <t>In-school Suspension</t>
  </si>
  <si>
    <t>E-AD-10</t>
  </si>
  <si>
    <t>Restroom</t>
  </si>
  <si>
    <t>E-AD-11</t>
  </si>
  <si>
    <t>Guidance Counselor's Office</t>
  </si>
  <si>
    <t>E-AD-12</t>
  </si>
  <si>
    <t>Guidance Records/Storage</t>
  </si>
  <si>
    <t>E-AD-13</t>
  </si>
  <si>
    <t>Parent/Volunteer Room</t>
  </si>
  <si>
    <t>E-AD-14</t>
  </si>
  <si>
    <t>Health Clinic (incl. RR)</t>
  </si>
  <si>
    <t>E-AD-15</t>
  </si>
  <si>
    <t>Itinerant Personnel Office</t>
  </si>
  <si>
    <t>Administrative Total</t>
  </si>
  <si>
    <t>AD-1</t>
  </si>
  <si>
    <t>AD-2</t>
  </si>
  <si>
    <t>AD-3</t>
  </si>
  <si>
    <t>AD-4</t>
  </si>
  <si>
    <t>AD-5</t>
  </si>
  <si>
    <t>AD-6</t>
  </si>
  <si>
    <t>AD-7</t>
  </si>
  <si>
    <t>AD-8</t>
  </si>
  <si>
    <t>AD-9</t>
  </si>
  <si>
    <t>AD-10</t>
  </si>
  <si>
    <t>AD-11</t>
  </si>
  <si>
    <t>AD-12</t>
  </si>
  <si>
    <t>AD-13</t>
  </si>
  <si>
    <t>AD-14</t>
  </si>
  <si>
    <t>AD-15</t>
  </si>
  <si>
    <t>K-5</t>
  </si>
  <si>
    <t>Physical Education Worksheet</t>
  </si>
  <si>
    <t>E-PE-1</t>
  </si>
  <si>
    <t>Gymnasium</t>
  </si>
  <si>
    <t>E-PE-2</t>
  </si>
  <si>
    <t>P. E. Workroom/Storage</t>
  </si>
  <si>
    <t>Physical Education Total</t>
  </si>
  <si>
    <t>PE-1</t>
  </si>
  <si>
    <t>PE-2</t>
  </si>
  <si>
    <t>TOTAL</t>
  </si>
  <si>
    <t>SCLE Worksheet ALLOWABLE</t>
  </si>
  <si>
    <t>ACTUAL</t>
  </si>
  <si>
    <t>Food Service Worksheet</t>
  </si>
  <si>
    <t>E-FS-0</t>
  </si>
  <si>
    <t>E-FS-1</t>
  </si>
  <si>
    <t>Kitchen (total)</t>
  </si>
  <si>
    <t>See Note 1 &amp; 2</t>
  </si>
  <si>
    <t>E-FS-1a</t>
  </si>
  <si>
    <t xml:space="preserve">    Preparation Area</t>
  </si>
  <si>
    <t>See Kitchen Area Notes</t>
  </si>
  <si>
    <t>E-FS-1b</t>
  </si>
  <si>
    <t xml:space="preserve">    Serving Area</t>
  </si>
  <si>
    <t>E-FS-1c</t>
  </si>
  <si>
    <t xml:space="preserve">    Dry Food Storage</t>
  </si>
  <si>
    <t>E-FS-1d</t>
  </si>
  <si>
    <t xml:space="preserve">    Cooler/Freezer</t>
  </si>
  <si>
    <t>E-FS-1e</t>
  </si>
  <si>
    <t xml:space="preserve">    Ware Washing</t>
  </si>
  <si>
    <t>Food Service Total</t>
  </si>
  <si>
    <t>FS-3</t>
  </si>
  <si>
    <t>Kitchen Area Sizes (Notes)</t>
  </si>
  <si>
    <t>Custodial Worksheet</t>
  </si>
  <si>
    <t>E-CU-1</t>
  </si>
  <si>
    <t>Workroom</t>
  </si>
  <si>
    <t>Custodial Total</t>
  </si>
  <si>
    <t>CU-1</t>
  </si>
  <si>
    <t>CU-2</t>
  </si>
  <si>
    <t>Building Services Worksheet</t>
  </si>
  <si>
    <t>E-BS-1</t>
  </si>
  <si>
    <t>See Build Svc Sizes</t>
  </si>
  <si>
    <t>E-BS-2</t>
  </si>
  <si>
    <t>Custodial Closet</t>
  </si>
  <si>
    <t>E-BS-3</t>
  </si>
  <si>
    <t>Electrical Closet</t>
  </si>
  <si>
    <t>E-BS-4</t>
  </si>
  <si>
    <t>Telecommunications Room (TR)</t>
  </si>
  <si>
    <t>E-BS-5</t>
  </si>
  <si>
    <t>Vertical Circulation</t>
  </si>
  <si>
    <t>E-BS-6</t>
  </si>
  <si>
    <t>E-BS-7</t>
  </si>
  <si>
    <t>Outdoor Storage Area</t>
  </si>
  <si>
    <t>See SF Allowance</t>
  </si>
  <si>
    <t>E-BS-8</t>
  </si>
  <si>
    <t>Central Storage Area</t>
  </si>
  <si>
    <t>E-BS-9</t>
  </si>
  <si>
    <t>Loading/Receiving Area</t>
  </si>
  <si>
    <t>E-BS-10</t>
  </si>
  <si>
    <t>E-BS-11</t>
  </si>
  <si>
    <t>Recycling Room</t>
  </si>
  <si>
    <t>Building Services Total</t>
  </si>
  <si>
    <t>Building Services Notes</t>
  </si>
  <si>
    <r>
      <t>Size of Telecommunications Room varies with size of elementary school.  See page 4111-</t>
    </r>
    <r>
      <rPr>
        <b/>
        <i/>
        <sz val="8"/>
        <color indexed="8"/>
        <rFont val="Arial"/>
        <family val="2"/>
      </rPr>
      <t>4</t>
    </r>
    <r>
      <rPr>
        <sz val="8"/>
        <color indexed="8"/>
        <rFont val="Arial"/>
        <family val="2"/>
      </rPr>
      <t>.</t>
    </r>
  </si>
  <si>
    <t xml:space="preserve">Vertical Circulation refers only to the following: Stairways/stairtowers, monumental stairs, elevators </t>
  </si>
  <si>
    <t>and elevator equipment room.</t>
  </si>
  <si>
    <t>BS-11</t>
  </si>
  <si>
    <t>BS-2</t>
  </si>
  <si>
    <t>BS-3</t>
  </si>
  <si>
    <t>BS-4</t>
  </si>
  <si>
    <t>VERTICAL CIRC</t>
  </si>
  <si>
    <t>BS-7</t>
  </si>
  <si>
    <t>BS-8</t>
  </si>
  <si>
    <t>BS-9</t>
  </si>
  <si>
    <t>BS-10</t>
  </si>
  <si>
    <t>Academic Core Worksheet</t>
  </si>
  <si>
    <t>E-AC-1</t>
  </si>
  <si>
    <t>Pre-Kindergarten Classroom</t>
  </si>
  <si>
    <t>Kindergarten Classroom</t>
  </si>
  <si>
    <t>E-AC-2</t>
  </si>
  <si>
    <t>Pre-Kindergarten Restroom</t>
  </si>
  <si>
    <t>Kindergarten Restroom</t>
  </si>
  <si>
    <t>E-AC-3</t>
  </si>
  <si>
    <t>Elementary Classroom</t>
  </si>
  <si>
    <t>E-AC-4</t>
  </si>
  <si>
    <t>Science/Computer Lab</t>
  </si>
  <si>
    <t>E-AC-5</t>
  </si>
  <si>
    <t>Teacher Prep Area/Workroom</t>
  </si>
  <si>
    <t>E-AC-6</t>
  </si>
  <si>
    <t>Individual Restroom</t>
  </si>
  <si>
    <t>E-AC-7</t>
  </si>
  <si>
    <t>Instructional Material Storage</t>
  </si>
  <si>
    <t>E-AC-8</t>
  </si>
  <si>
    <t>Small Group Room</t>
  </si>
  <si>
    <r>
      <t>E-AC-9</t>
    </r>
    <r>
      <rPr>
        <sz val="10"/>
        <rFont val="Arial"/>
      </rPr>
      <t/>
    </r>
  </si>
  <si>
    <t>Multi-use Studio</t>
  </si>
  <si>
    <r>
      <t>E-AC-10</t>
    </r>
    <r>
      <rPr>
        <sz val="10"/>
        <rFont val="Arial"/>
      </rPr>
      <t/>
    </r>
  </si>
  <si>
    <t>Kinesthetic Learning Studio</t>
  </si>
  <si>
    <t>Academic Core Total</t>
  </si>
  <si>
    <t>Academic Core Notes</t>
  </si>
  <si>
    <t>Spaces E-AC-8, E-AC-9, E-AC-10 are provided to encourage the development of</t>
  </si>
  <si>
    <t>are E-AC-8=150 SF, E-AC-9=1500, E-AC-10=1200 SF.</t>
  </si>
  <si>
    <t>AC-1</t>
  </si>
  <si>
    <t>AC-2</t>
  </si>
  <si>
    <t>AC-3</t>
  </si>
  <si>
    <t>AC-4</t>
  </si>
  <si>
    <t>AC-5</t>
  </si>
  <si>
    <t>AC-6</t>
  </si>
  <si>
    <t>AC-7</t>
  </si>
  <si>
    <t>AC-8</t>
  </si>
  <si>
    <t>AC-9</t>
  </si>
  <si>
    <t>AC-10</t>
  </si>
  <si>
    <t>PAC-1</t>
  </si>
  <si>
    <t>PAC-2</t>
  </si>
  <si>
    <t>Special Education Worksheet</t>
  </si>
  <si>
    <t>E-SE-1</t>
  </si>
  <si>
    <t>Self-contained Classroom</t>
  </si>
  <si>
    <t>E-SE-2</t>
  </si>
  <si>
    <t>Workroom/Conference</t>
  </si>
  <si>
    <t>E-SE-3</t>
  </si>
  <si>
    <t>Restroom/Shower</t>
  </si>
  <si>
    <t>E-SE-4</t>
  </si>
  <si>
    <t>Special Education/Resource</t>
  </si>
  <si>
    <t>E-SE-5</t>
  </si>
  <si>
    <t>Small Self-contained Classroom</t>
  </si>
  <si>
    <t>Special Education Total</t>
  </si>
  <si>
    <t>Special Education Notes</t>
  </si>
  <si>
    <t>Self-contained classroom(s) could 'house' various special education programs including,</t>
  </si>
  <si>
    <t>but not limited to, cognitive disability, emotional disturbance, multiple disabilities, etc.</t>
  </si>
  <si>
    <t>Workroom/Conference could 'house' orthopedic impairment, autism, speech therapy,</t>
  </si>
  <si>
    <t>occupational therapy, and physical therapy.</t>
  </si>
  <si>
    <t>Special Education/Resource could 'house' cognitive disability, hearing impairment,</t>
  </si>
  <si>
    <t>visual impairment, emotional disturbance, orthopedic impairment, autistic,</t>
  </si>
  <si>
    <t>traumatic, brain injury, learning disability, deaf/blindness, etc.</t>
  </si>
  <si>
    <t>See Chapter 1, Section 1110 for more information.</t>
  </si>
  <si>
    <t>For student capacities above 2,000 students, areas remain the same or increase</t>
  </si>
  <si>
    <t>SE-1</t>
  </si>
  <si>
    <t>SE-2</t>
  </si>
  <si>
    <t>SE-3</t>
  </si>
  <si>
    <t>SE-4</t>
  </si>
  <si>
    <t>SE-5</t>
  </si>
  <si>
    <t>Media Center Worksheet</t>
  </si>
  <si>
    <t>E-MC-1</t>
  </si>
  <si>
    <t>Reading Room/Circulation</t>
  </si>
  <si>
    <t>E-MC-2</t>
  </si>
  <si>
    <t>Media Specialist Office</t>
  </si>
  <si>
    <t>E-MC-3</t>
  </si>
  <si>
    <t>Workroom/Storage</t>
  </si>
  <si>
    <t>E-MC-4</t>
  </si>
  <si>
    <t>Main Control/Equipment Rm</t>
  </si>
  <si>
    <t>E-MC-5</t>
  </si>
  <si>
    <t xml:space="preserve">  </t>
  </si>
  <si>
    <t>Media Center Total</t>
  </si>
  <si>
    <t>Media Center Notes</t>
  </si>
  <si>
    <t>The size of the Reading Room/Circulation space is equal to 10% of the student</t>
  </si>
  <si>
    <t>enrollment multiplied by 30 SF per student.</t>
  </si>
  <si>
    <t>MC-1</t>
  </si>
  <si>
    <t>MC-2</t>
  </si>
  <si>
    <t>MC-3</t>
  </si>
  <si>
    <t>MC-4</t>
  </si>
  <si>
    <t>MC-5</t>
  </si>
  <si>
    <t>Note 2</t>
  </si>
  <si>
    <t>Visual Art Worksheet</t>
  </si>
  <si>
    <t>E-VA-1</t>
  </si>
  <si>
    <t>Art Room</t>
  </si>
  <si>
    <t>E-VA-2</t>
  </si>
  <si>
    <t>Kiln/Ceramic Storage</t>
  </si>
  <si>
    <t>E-VA-3</t>
  </si>
  <si>
    <t>Art Material Storage</t>
  </si>
  <si>
    <t>Visual Arts Total</t>
  </si>
  <si>
    <t>VA-1</t>
  </si>
  <si>
    <t>VA-2</t>
  </si>
  <si>
    <t>VA-3</t>
  </si>
  <si>
    <t>Music Worksheet</t>
  </si>
  <si>
    <t>E-MU-1</t>
  </si>
  <si>
    <t>Music Room</t>
  </si>
  <si>
    <t>E-MU-2</t>
  </si>
  <si>
    <t>Music Storage</t>
  </si>
  <si>
    <t>Music Total</t>
  </si>
  <si>
    <t>Academic / Special Education Spaces / Media / Visual Arts / Music / Student Dining</t>
  </si>
  <si>
    <t>Student Dining Worksheet</t>
  </si>
  <si>
    <t>E-SD-1</t>
  </si>
  <si>
    <t>Student Dining</t>
  </si>
  <si>
    <t>E-SD-2</t>
  </si>
  <si>
    <t>Stage</t>
  </si>
  <si>
    <t>E-SD-3</t>
  </si>
  <si>
    <t>Staff Dining</t>
  </si>
  <si>
    <t>E-SD-4</t>
  </si>
  <si>
    <t>Table Storage</t>
  </si>
  <si>
    <t>E-SD-5</t>
  </si>
  <si>
    <t>Family Restroom</t>
  </si>
  <si>
    <t>Student Dining Total</t>
  </si>
  <si>
    <t>Student Dining Notes</t>
  </si>
  <si>
    <t>The size of the Student Dining space is equal to one-third of the student</t>
  </si>
  <si>
    <t>enrollment multiplied by 15 SF per student or 3,000 SF, whichever is greater.</t>
  </si>
  <si>
    <t>SD-1</t>
  </si>
  <si>
    <t>SD-2</t>
  </si>
  <si>
    <t>SD-3</t>
  </si>
  <si>
    <t>SD-4</t>
  </si>
  <si>
    <t>SD-5</t>
  </si>
  <si>
    <t>Vert. Cir. Area Allowable</t>
  </si>
  <si>
    <t xml:space="preserve">Enter Student Enrollment </t>
  </si>
  <si>
    <t xml:space="preserve">Square Feet Per Student </t>
  </si>
  <si>
    <t xml:space="preserve">Total Adjusted POR Gross Square Footage </t>
  </si>
  <si>
    <t xml:space="preserve">Construction Factor (10% multiplied by the facility total) </t>
  </si>
  <si>
    <t xml:space="preserve">Gross Square Feet (GSF) Developed </t>
  </si>
  <si>
    <t>SCLE Educational Specification Schematic S.F. Summary</t>
  </si>
  <si>
    <t>See Note 7.</t>
  </si>
  <si>
    <t>See Note 1.</t>
  </si>
  <si>
    <t>See Note 2.</t>
  </si>
  <si>
    <t>See Note 3.</t>
  </si>
  <si>
    <t>See Note 4.</t>
  </si>
  <si>
    <t>See Note 5.</t>
  </si>
  <si>
    <t>See Note 6.</t>
  </si>
  <si>
    <t>Note 1.</t>
  </si>
  <si>
    <t>Note 2.</t>
  </si>
  <si>
    <t>Note 4.</t>
  </si>
  <si>
    <t>Note 6.</t>
  </si>
  <si>
    <t>Note 7.</t>
  </si>
  <si>
    <t>Facility Total (NET AREA)</t>
  </si>
  <si>
    <t>Calculated Construction factor</t>
  </si>
  <si>
    <t>Facility Total (GROSS AREA)</t>
  </si>
  <si>
    <t>See Note 8.</t>
  </si>
  <si>
    <t>See Note 9.</t>
  </si>
  <si>
    <t>See Note 10.</t>
  </si>
  <si>
    <t>See Note 11.</t>
  </si>
  <si>
    <t>See Note 12.</t>
  </si>
  <si>
    <t>See Note 13.</t>
  </si>
  <si>
    <t>See Note 14.</t>
  </si>
  <si>
    <t>See Note 15.</t>
  </si>
  <si>
    <t>See Note 16.</t>
  </si>
  <si>
    <t>See Note 17.</t>
  </si>
  <si>
    <t>See Note 18.</t>
  </si>
  <si>
    <t>See Note 19.</t>
  </si>
  <si>
    <t>Facility Total (NET SF)</t>
  </si>
  <si>
    <t>Note 5.</t>
  </si>
  <si>
    <t>See Note 20.</t>
  </si>
  <si>
    <t>See Note 21.</t>
  </si>
  <si>
    <t>See Note 22.</t>
  </si>
  <si>
    <t>Note 8.</t>
  </si>
  <si>
    <t>Note 9.</t>
  </si>
  <si>
    <t>Note 10.</t>
  </si>
  <si>
    <t>Note 3.</t>
  </si>
  <si>
    <r>
      <rPr>
        <b/>
        <u/>
        <sz val="8"/>
        <rFont val="Arial"/>
        <family val="2"/>
      </rPr>
      <t>MINIMUM SQUARE FOOTAGE REQUIRED</t>
    </r>
    <r>
      <rPr>
        <sz val="8"/>
        <rFont val="Arial"/>
        <family val="2"/>
      </rPr>
      <t xml:space="preserve"> - Includes E-AC Academic Core Spaces, E-SE Special Education Spaces, E-MC Media Center Spaces, E-VA Visual Arts Spaces, E-MU Music Spaces, and E-SD Student Dining Spaces derived from total areas developed with traditional bracketing program areas including the ADDITIONAL E-AC-8 Small Group Room, E-AC-9 Multi-use Studio, E-AC-10 Kinesthetic Learning Studio included in the 2011 Design Manual Update.</t>
    </r>
  </si>
  <si>
    <t>Note 12.</t>
  </si>
  <si>
    <t>Note 13.</t>
  </si>
  <si>
    <t>Note 14.</t>
  </si>
  <si>
    <t>Note 15.</t>
  </si>
  <si>
    <t>Note 16.</t>
  </si>
  <si>
    <t>Note 17.</t>
  </si>
  <si>
    <t>Note 11.</t>
  </si>
  <si>
    <t>Note 18.</t>
  </si>
  <si>
    <t>Note 19.</t>
  </si>
  <si>
    <t>Enter "New" and "Existing" calculated GROSS AREA totals from schematic diagrams developed.</t>
  </si>
  <si>
    <r>
      <rPr>
        <b/>
        <u/>
        <sz val="8"/>
        <rFont val="Arial"/>
        <family val="2"/>
      </rPr>
      <t>MAXIMUM SQUARE FOOTAGE ALLOWED</t>
    </r>
    <r>
      <rPr>
        <sz val="8"/>
        <rFont val="Arial"/>
        <family val="2"/>
      </rPr>
      <t xml:space="preserve"> - Includes all spaces included in traditional bracketing program areas identified under E-PE Physical Education Spaces.</t>
    </r>
  </si>
  <si>
    <t>student centered learning environments as found in Section 1020.  Minimum sizes</t>
  </si>
  <si>
    <t>proportionally as indicated in the examples.</t>
  </si>
  <si>
    <t>The following worksheet provides a summary of the four major POR categories defined in a "Student Centered Learning Environment" project.
Entering the grade configuration, student enrollment, and both "Net" and "Gross" square footage totals from the educational specifications and schematic diagrams (based upon the traditional POR categories) this worksheet summarizes the ALLOWABLE and ACTUAL areas in a STUDENT CENTERED LEARNING ENVIRONMENT (SCLE).  This worksheet is part of the required submittal for any SCLE project.</t>
  </si>
  <si>
    <t>Enter existing co-funded Oversize Area from Master Plan</t>
  </si>
  <si>
    <t>Total Gross Square Feet Funded from MASTER PLAN</t>
  </si>
  <si>
    <t>Sample School District, SAMPLE MIDDLE SCHOOL SCLE</t>
  </si>
  <si>
    <t xml:space="preserve">Construction Factor (11% multiplied by the facility total) </t>
  </si>
  <si>
    <t>Sample School District, SAMPLE HIGH SCHOOL SCLE</t>
  </si>
  <si>
    <t>Academic / Special Education / Media / Visual Arts / Music / Technology / Family and Consumer Science / Student Dining</t>
  </si>
  <si>
    <t>Academic / Special Education / Media / Visual Arts / Music / Technology / Business Education / Family and Consumer Science / Student Dining</t>
  </si>
  <si>
    <t>Note 20.</t>
  </si>
  <si>
    <t>Note 21.</t>
  </si>
  <si>
    <t>Note 22.</t>
  </si>
  <si>
    <t xml:space="preserve">   2200 M-SCLE</t>
  </si>
  <si>
    <t xml:space="preserve">   2100 E-SCLE</t>
  </si>
  <si>
    <r>
      <rPr>
        <b/>
        <u/>
        <sz val="8"/>
        <rFont val="Arial"/>
        <family val="2"/>
      </rPr>
      <t>MINIMUM SQUARE FOOTAGE REQUIRED</t>
    </r>
    <r>
      <rPr>
        <sz val="8"/>
        <rFont val="Arial"/>
        <family val="2"/>
      </rPr>
      <t xml:space="preserve"> - Includes M-AC Academic Core Spaces, M-SE Special Education Spaces, M-MC Media Center Spaces, M-VA Visual Arts Spaces, M-MU Music Spaces, M-TE Technology Education Spaces, M-FCS Family and Consumer Science Spaces, and M-SD Student Dining Spaces derived from total areas developed with traditional bracketing program areas including the ADDITIONAL M-AC-7a Small Group Room, M-AC-8 Multi-use Studio, M-AC-9 Kinesthetic Learning Studio included in the 2011 Design Manual Update.</t>
    </r>
  </si>
  <si>
    <r>
      <rPr>
        <b/>
        <u/>
        <sz val="8"/>
        <rFont val="Arial"/>
        <family val="2"/>
      </rPr>
      <t>MAXIMUM SQUARE FOOTAGE ALLOWED</t>
    </r>
    <r>
      <rPr>
        <sz val="8"/>
        <rFont val="Arial"/>
        <family val="2"/>
      </rPr>
      <t xml:space="preserve"> - Includes all spaces included in traditional bracketing program areas identified under M-PE Physical Education Spaces.</t>
    </r>
  </si>
  <si>
    <r>
      <rPr>
        <b/>
        <u/>
        <sz val="8"/>
        <rFont val="Arial"/>
        <family val="2"/>
      </rPr>
      <t>MINIMUM SQUARE FOOTAGE REQUIRED</t>
    </r>
    <r>
      <rPr>
        <sz val="8"/>
        <rFont val="Arial"/>
        <family val="2"/>
      </rPr>
      <t xml:space="preserve"> - Includes H-AC Academic Core Spaces, H-SE Special Education Spaces, H-MC Media Center Spaces, H-VA Visual Arts Spaces, H-MU Music Spaces, H-TE Technology Spaces, H-BE Business Education Spaces, H-FCS Family and Consumer Science Spaces, and H-SD Student Dining Spaces derived from total areas developed with traditional bracketing program areas including the ADDITIONAL H-AC-9a Small Group Room, H-AC-13 Multi-use Studio, H-AC-14 Kinesthetic Learning Studio included in the 2011 Design Manual Update.</t>
    </r>
  </si>
  <si>
    <r>
      <rPr>
        <b/>
        <u/>
        <sz val="8"/>
        <rFont val="Arial"/>
        <family val="2"/>
      </rPr>
      <t>MAXIMUM SQUARE FOOTAGE ALLOWED</t>
    </r>
    <r>
      <rPr>
        <sz val="8"/>
        <rFont val="Arial"/>
        <family val="2"/>
      </rPr>
      <t xml:space="preserve"> - Includes all spaces included in traditional bracketing program areas identified under H-PE Physical Education Spaces.</t>
    </r>
  </si>
  <si>
    <t>M-AC-1</t>
  </si>
  <si>
    <t>M-AC-2</t>
  </si>
  <si>
    <t>M-AC-3</t>
  </si>
  <si>
    <t>M-AC-4</t>
  </si>
  <si>
    <t>M-AC-5</t>
  </si>
  <si>
    <t>M-AC-6</t>
  </si>
  <si>
    <t>M-AC-7</t>
  </si>
  <si>
    <t>M-AC-8</t>
  </si>
  <si>
    <t>M-AC-9</t>
  </si>
  <si>
    <t>M-AC-7a</t>
  </si>
  <si>
    <t>Middle School Classroom</t>
  </si>
  <si>
    <t>Project Laboratory</t>
  </si>
  <si>
    <t>Sci/Tech/Eng/Math/Computer Lab</t>
  </si>
  <si>
    <t>Spaces M-AC-7a, M-AC-8, M-AC-9 are provided to encourage the development of</t>
  </si>
  <si>
    <t>601-750 Students</t>
  </si>
  <si>
    <t>751-1000 Students</t>
  </si>
  <si>
    <t>350-450 Students</t>
  </si>
  <si>
    <t>451-600 Students</t>
  </si>
  <si>
    <t>M-SE-1</t>
  </si>
  <si>
    <t>M-SE-2</t>
  </si>
  <si>
    <t>M-SE-3</t>
  </si>
  <si>
    <t>M-SE-4</t>
  </si>
  <si>
    <t>M-SE-5</t>
  </si>
  <si>
    <t>M-AD-1</t>
  </si>
  <si>
    <t>M-AD-2</t>
  </si>
  <si>
    <t>M-AD-3</t>
  </si>
  <si>
    <t>M-AD-4</t>
  </si>
  <si>
    <t>M-AD-5</t>
  </si>
  <si>
    <t>M-AD-6</t>
  </si>
  <si>
    <t>M-AD-7</t>
  </si>
  <si>
    <t>M-AD-8</t>
  </si>
  <si>
    <t>M-AD-9</t>
  </si>
  <si>
    <t>M-AD-10</t>
  </si>
  <si>
    <t>M-AD-11</t>
  </si>
  <si>
    <t>M-AD-12</t>
  </si>
  <si>
    <t>M-AD-13</t>
  </si>
  <si>
    <t>M-AD-14</t>
  </si>
  <si>
    <t>M-AD-15</t>
  </si>
  <si>
    <t>M-MC-1</t>
  </si>
  <si>
    <t>M-MC-2</t>
  </si>
  <si>
    <t>M-MC-3</t>
  </si>
  <si>
    <t>M-MC-4</t>
  </si>
  <si>
    <t>M-MC-5</t>
  </si>
  <si>
    <t>M-MC-6</t>
  </si>
  <si>
    <t>Multimedia Production Room</t>
  </si>
  <si>
    <t>MC-6</t>
  </si>
  <si>
    <t>M-VA-2</t>
  </si>
  <si>
    <t>M-VA-3</t>
  </si>
  <si>
    <t>M-VA-1</t>
  </si>
  <si>
    <t>M-MU-1</t>
  </si>
  <si>
    <t>M-MU-2</t>
  </si>
  <si>
    <t>M-MU-3</t>
  </si>
  <si>
    <t>Vocal Room</t>
  </si>
  <si>
    <t>Music Library</t>
  </si>
  <si>
    <t>MU-1</t>
  </si>
  <si>
    <t>MU-2</t>
  </si>
  <si>
    <t>MU-3</t>
  </si>
  <si>
    <t>Technology Education Worksheet</t>
  </si>
  <si>
    <t>M-TE-1a</t>
  </si>
  <si>
    <t>M-TE-1b</t>
  </si>
  <si>
    <t>M-TE-2</t>
  </si>
  <si>
    <t>Family and Consumer Science Worksheet</t>
  </si>
  <si>
    <t>M-FCS-1</t>
  </si>
  <si>
    <t>M-FCS-2</t>
  </si>
  <si>
    <t>Life Skills Lab</t>
  </si>
  <si>
    <t>Life Skills Storage</t>
  </si>
  <si>
    <t>M-PE-1</t>
  </si>
  <si>
    <t>M-PE-2</t>
  </si>
  <si>
    <t>M-PE-3</t>
  </si>
  <si>
    <t>M-PE-4</t>
  </si>
  <si>
    <t>M-PE-5</t>
  </si>
  <si>
    <t>M-PE-6</t>
  </si>
  <si>
    <t>M-PE-7</t>
  </si>
  <si>
    <t>PE-3</t>
  </si>
  <si>
    <t>PE-4</t>
  </si>
  <si>
    <t>PE-5</t>
  </si>
  <si>
    <t>PE-6</t>
  </si>
  <si>
    <t>Auxilary Gym</t>
  </si>
  <si>
    <t>P.E./Athletic Office</t>
  </si>
  <si>
    <t>Staff Shower</t>
  </si>
  <si>
    <t>Student Locker Room</t>
  </si>
  <si>
    <t>Student Restroom/Shower</t>
  </si>
  <si>
    <t>Physical Education Storage</t>
  </si>
  <si>
    <t>PE-7</t>
  </si>
  <si>
    <t>M-SD-1</t>
  </si>
  <si>
    <t>M-SD-2</t>
  </si>
  <si>
    <t>M-SD-3</t>
  </si>
  <si>
    <t>M-SD-4</t>
  </si>
  <si>
    <t>M-SD-5</t>
  </si>
  <si>
    <t>M-FS-0</t>
  </si>
  <si>
    <t>M-FS-1</t>
  </si>
  <si>
    <t>M-FS-1a</t>
  </si>
  <si>
    <t>M-FS-1b</t>
  </si>
  <si>
    <t>M-FS-1c</t>
  </si>
  <si>
    <t>M-FS-1d</t>
  </si>
  <si>
    <t>M-FS-1e</t>
  </si>
  <si>
    <t>M-FS-2</t>
  </si>
  <si>
    <t>M-FS-3</t>
  </si>
  <si>
    <t>M-CU-1</t>
  </si>
  <si>
    <t>M-CU-2</t>
  </si>
  <si>
    <t>M-BS-1</t>
  </si>
  <si>
    <t>M-BS-2</t>
  </si>
  <si>
    <t>M-BS-3</t>
  </si>
  <si>
    <t>M-BS-4</t>
  </si>
  <si>
    <t>M-BS-5</t>
  </si>
  <si>
    <t>M-BS-6</t>
  </si>
  <si>
    <t>M-BS-7</t>
  </si>
  <si>
    <t>M-BS-8</t>
  </si>
  <si>
    <t>M-BS-9</t>
  </si>
  <si>
    <t>M-BS-10</t>
  </si>
  <si>
    <t>M-BS-11</t>
  </si>
  <si>
    <t>H-AC-1</t>
  </si>
  <si>
    <t>H-AC-2</t>
  </si>
  <si>
    <t>H-AC-3</t>
  </si>
  <si>
    <t>H-AC-4</t>
  </si>
  <si>
    <t>H-AC-5</t>
  </si>
  <si>
    <t>H-AC-6</t>
  </si>
  <si>
    <t>H-AC-7</t>
  </si>
  <si>
    <t>H-AC-8</t>
  </si>
  <si>
    <t>H-AC-9</t>
  </si>
  <si>
    <t>High School Classroom</t>
  </si>
  <si>
    <t>H-AC-10</t>
  </si>
  <si>
    <t>H-AC-11</t>
  </si>
  <si>
    <t>H-AC-12</t>
  </si>
  <si>
    <t>H-AC-9a</t>
  </si>
  <si>
    <t>H-AC-13</t>
  </si>
  <si>
    <t>H-AC-14</t>
  </si>
  <si>
    <t>451-800 Students</t>
  </si>
  <si>
    <t>801-1200 Students</t>
  </si>
  <si>
    <t>1201-1600 Students</t>
  </si>
  <si>
    <t>Spaces H-AC-9a, H-AC-13, H-AC-14 are provided to encourage the development of</t>
  </si>
  <si>
    <t>are H-AC-9a=150 SF, H-AC-13=1,500, E-AC-14=1,200 SF.</t>
  </si>
  <si>
    <t>are M-AC-7a=150 SF, M-AC-8=1,500, M-AC-90=1,200 SF.</t>
  </si>
  <si>
    <t>1601-2400 Students</t>
  </si>
  <si>
    <t>Multi-use Room</t>
  </si>
  <si>
    <t>Science Classroom - General/Physics</t>
  </si>
  <si>
    <t>Science Classroom - Chemistry</t>
  </si>
  <si>
    <t xml:space="preserve">Science Classroom - Biology </t>
  </si>
  <si>
    <t>Science Prep</t>
  </si>
  <si>
    <t>Project/Classroom</t>
  </si>
  <si>
    <t>Science Laboratory</t>
  </si>
  <si>
    <t>H-SE-1</t>
  </si>
  <si>
    <t>H-SE-2</t>
  </si>
  <si>
    <t>H-SE-3</t>
  </si>
  <si>
    <t>H-SE-4</t>
  </si>
  <si>
    <t>H-SE-5</t>
  </si>
  <si>
    <t>Secretarial Area</t>
  </si>
  <si>
    <t>Guidance Conference Room</t>
  </si>
  <si>
    <t>Career Center</t>
  </si>
  <si>
    <t>H-AD-1</t>
  </si>
  <si>
    <t>H-AD-2</t>
  </si>
  <si>
    <t>H-AD-3</t>
  </si>
  <si>
    <t>H-AD-4</t>
  </si>
  <si>
    <t>H-AD-5</t>
  </si>
  <si>
    <t>H-AD-6</t>
  </si>
  <si>
    <t>H-AD-7</t>
  </si>
  <si>
    <t>H-AD-8</t>
  </si>
  <si>
    <t>H-AD-9</t>
  </si>
  <si>
    <t>H-AD-10</t>
  </si>
  <si>
    <t>H-AD-11</t>
  </si>
  <si>
    <t>H-AD-12</t>
  </si>
  <si>
    <t>H-AD-13</t>
  </si>
  <si>
    <t>H-AD-14</t>
  </si>
  <si>
    <t>H-AD-15</t>
  </si>
  <si>
    <t>H-AD-16</t>
  </si>
  <si>
    <t>H-AD-17</t>
  </si>
  <si>
    <t>AD-16</t>
  </si>
  <si>
    <t>AD-17</t>
  </si>
  <si>
    <t>H-MC-1</t>
  </si>
  <si>
    <t>H-MC-2</t>
  </si>
  <si>
    <t>H-MC-3</t>
  </si>
  <si>
    <t>H-MC-4</t>
  </si>
  <si>
    <t>H-MC-5</t>
  </si>
  <si>
    <t>H-MC-6</t>
  </si>
  <si>
    <t>H-MC-7</t>
  </si>
  <si>
    <t>enrollment multiplied by 35 SF per student.</t>
  </si>
  <si>
    <t>MC-7</t>
  </si>
  <si>
    <t>MC-9</t>
  </si>
  <si>
    <t>H-VA-1</t>
  </si>
  <si>
    <t>H-VA-2</t>
  </si>
  <si>
    <t>H-VA-3</t>
  </si>
  <si>
    <t>H-MU-1</t>
  </si>
  <si>
    <t>Instrumental Room</t>
  </si>
  <si>
    <t>H-MU-2</t>
  </si>
  <si>
    <t>Instrument Storage</t>
  </si>
  <si>
    <t>H-MU-3</t>
  </si>
  <si>
    <t>Orchestra Storage</t>
  </si>
  <si>
    <t>H-MU-4</t>
  </si>
  <si>
    <t>Instrumental Music Library</t>
  </si>
  <si>
    <t>H-MU-5</t>
  </si>
  <si>
    <t>Uniform Storage</t>
  </si>
  <si>
    <t>H-MU-6</t>
  </si>
  <si>
    <t>H-MU-7</t>
  </si>
  <si>
    <t>Vocal Storage</t>
  </si>
  <si>
    <t>H-MU-8</t>
  </si>
  <si>
    <t>Vocal Music Library</t>
  </si>
  <si>
    <t>H-MU-9</t>
  </si>
  <si>
    <t>Ensemble Room</t>
  </si>
  <si>
    <t>H-MU-10</t>
  </si>
  <si>
    <t>Practice Room</t>
  </si>
  <si>
    <t>MU-4</t>
  </si>
  <si>
    <t>MU-5</t>
  </si>
  <si>
    <t>MU-6</t>
  </si>
  <si>
    <t>MU-7</t>
  </si>
  <si>
    <t>MU-8</t>
  </si>
  <si>
    <t>MU-9</t>
  </si>
  <si>
    <t>MU-10</t>
  </si>
  <si>
    <t>H-TE-1</t>
  </si>
  <si>
    <t>Modular Technology Lab</t>
  </si>
  <si>
    <t>or</t>
  </si>
  <si>
    <t xml:space="preserve">H-TE-1a </t>
  </si>
  <si>
    <t>Ag-Ed Lab</t>
  </si>
  <si>
    <t>H-TE-2</t>
  </si>
  <si>
    <t>Storage</t>
  </si>
  <si>
    <t>H-TE-3</t>
  </si>
  <si>
    <t>CADD Lab</t>
  </si>
  <si>
    <t>H-TE-4</t>
  </si>
  <si>
    <t>Production Lab</t>
  </si>
  <si>
    <t>Technology Education Total</t>
  </si>
  <si>
    <t>H-TE-1a</t>
  </si>
  <si>
    <t>H-BE-1</t>
  </si>
  <si>
    <t>Computer and Business Classroom</t>
  </si>
  <si>
    <t>H-BE-2</t>
  </si>
  <si>
    <t>Marketing Classroom</t>
  </si>
  <si>
    <t>H-BE-3</t>
  </si>
  <si>
    <t xml:space="preserve">Workroom/Storage </t>
  </si>
  <si>
    <t>Business Education Total</t>
  </si>
  <si>
    <t>Business Education Worksheet</t>
  </si>
  <si>
    <t>H-FCS-1</t>
  </si>
  <si>
    <t>H-FCS-2</t>
  </si>
  <si>
    <t>H-FCS-3</t>
  </si>
  <si>
    <t>H-FCS-4</t>
  </si>
  <si>
    <t>Laundry</t>
  </si>
  <si>
    <t>Child Development</t>
  </si>
  <si>
    <t>Family and Consumer Science Total</t>
  </si>
  <si>
    <t>PE-8</t>
  </si>
  <si>
    <t>PE-9</t>
  </si>
  <si>
    <t>PE-10</t>
  </si>
  <si>
    <t>PE-11</t>
  </si>
  <si>
    <t>PE-12</t>
  </si>
  <si>
    <t>H-PE-1</t>
  </si>
  <si>
    <t>H-PE-2</t>
  </si>
  <si>
    <t>Auxiliary Gymnasium</t>
  </si>
  <si>
    <t>H-PE-3</t>
  </si>
  <si>
    <t>H-PE-4</t>
  </si>
  <si>
    <t>H-PE-5</t>
  </si>
  <si>
    <t>H-PE-6</t>
  </si>
  <si>
    <t>H-PE-7</t>
  </si>
  <si>
    <t>H-PE-8</t>
  </si>
  <si>
    <t>Athletic Director's Office</t>
  </si>
  <si>
    <t>H-PE-9</t>
  </si>
  <si>
    <t>Lobby Services</t>
  </si>
  <si>
    <t>H-PE-10</t>
  </si>
  <si>
    <t>Training Room</t>
  </si>
  <si>
    <t>H-PE-11</t>
  </si>
  <si>
    <t>Physical Health Classroom</t>
  </si>
  <si>
    <t>H-PE-12</t>
  </si>
  <si>
    <t>Multi-use P.E. Room</t>
  </si>
  <si>
    <t>enrollment multiplied by 17.5 SF per student or 3,000 SF, whichever is greater.</t>
  </si>
  <si>
    <t>H-SD-1</t>
  </si>
  <si>
    <t>H-SD-2</t>
  </si>
  <si>
    <t>H-SD-3</t>
  </si>
  <si>
    <t>Scene Shop and Storage</t>
  </si>
  <si>
    <t>H-SD-4</t>
  </si>
  <si>
    <t>Make-up/Dressing Rooms</t>
  </si>
  <si>
    <t>H-SD-5</t>
  </si>
  <si>
    <t>Theatrical Control Room</t>
  </si>
  <si>
    <t>H-SD-6</t>
  </si>
  <si>
    <t>Drama Storage</t>
  </si>
  <si>
    <t>H-SD-7</t>
  </si>
  <si>
    <t>H-SD-8</t>
  </si>
  <si>
    <t xml:space="preserve">Table Storage </t>
  </si>
  <si>
    <t>H-SD-9</t>
  </si>
  <si>
    <t>SD-6</t>
  </si>
  <si>
    <t>SD-7</t>
  </si>
  <si>
    <t>SD-8</t>
  </si>
  <si>
    <t>SD-9</t>
  </si>
  <si>
    <t>FS-2</t>
  </si>
  <si>
    <t>Cooler/Freezer</t>
  </si>
  <si>
    <t>Ware Washing</t>
  </si>
  <si>
    <t>Serving Area</t>
  </si>
  <si>
    <t>H-CU-1</t>
  </si>
  <si>
    <t>H-CU-2</t>
  </si>
  <si>
    <t>H-BS-1</t>
  </si>
  <si>
    <t>H-BS-2</t>
  </si>
  <si>
    <t>H-BS-3</t>
  </si>
  <si>
    <t>H-BS-4</t>
  </si>
  <si>
    <t>H-BS-5</t>
  </si>
  <si>
    <t>H-BS-6</t>
  </si>
  <si>
    <t>H-BS-7</t>
  </si>
  <si>
    <t>Storage Area</t>
  </si>
  <si>
    <t>H-BS-8</t>
  </si>
  <si>
    <t>H-BS-9</t>
  </si>
  <si>
    <t>H-BS-10</t>
  </si>
  <si>
    <t>H-BS-11</t>
  </si>
  <si>
    <t>Recycle Room</t>
  </si>
  <si>
    <t>HS - Academic Core Worksheet</t>
  </si>
  <si>
    <t>MS - Academic Core Worksheet</t>
  </si>
  <si>
    <t>ES - Academic Core Worksheet</t>
  </si>
  <si>
    <t>K-12</t>
  </si>
  <si>
    <t>Enter Student Enrollment.</t>
  </si>
  <si>
    <t>Enter Student Enrollments for ES, MS, and HS.</t>
  </si>
  <si>
    <r>
      <t xml:space="preserve">Enter </t>
    </r>
    <r>
      <rPr>
        <b/>
        <sz val="10"/>
        <rFont val="Arial"/>
        <family val="2"/>
      </rPr>
      <t>HIGH SCHOOL</t>
    </r>
    <r>
      <rPr>
        <sz val="10"/>
        <rFont val="Arial"/>
      </rPr>
      <t xml:space="preserve"> Student Enrollment </t>
    </r>
  </si>
  <si>
    <r>
      <t xml:space="preserve">SF per </t>
    </r>
    <r>
      <rPr>
        <b/>
        <sz val="10"/>
        <rFont val="Arial"/>
        <family val="2"/>
      </rPr>
      <t>ELEMENTARY SCHOOL</t>
    </r>
    <r>
      <rPr>
        <sz val="10"/>
        <rFont val="Arial"/>
      </rPr>
      <t xml:space="preserve"> student</t>
    </r>
  </si>
  <si>
    <t>SF per student</t>
  </si>
  <si>
    <r>
      <t xml:space="preserve">SF per </t>
    </r>
    <r>
      <rPr>
        <b/>
        <sz val="10"/>
        <rFont val="Arial"/>
        <family val="2"/>
      </rPr>
      <t>MIDDLE SCHOOL</t>
    </r>
    <r>
      <rPr>
        <sz val="10"/>
        <rFont val="Arial"/>
      </rPr>
      <t xml:space="preserve"> student</t>
    </r>
  </si>
  <si>
    <r>
      <t xml:space="preserve">SF per </t>
    </r>
    <r>
      <rPr>
        <b/>
        <sz val="10"/>
        <rFont val="Arial"/>
        <family val="2"/>
      </rPr>
      <t>HIGH SCHOOL</t>
    </r>
    <r>
      <rPr>
        <sz val="10"/>
        <rFont val="Arial"/>
      </rPr>
      <t xml:space="preserve"> student</t>
    </r>
  </si>
  <si>
    <r>
      <rPr>
        <b/>
        <sz val="10"/>
        <rFont val="Arial"/>
        <family val="2"/>
      </rPr>
      <t>TOTAL</t>
    </r>
    <r>
      <rPr>
        <sz val="10"/>
        <rFont val="Arial"/>
      </rPr>
      <t xml:space="preserve"> Student Enrollment</t>
    </r>
  </si>
  <si>
    <t>AREA</t>
  </si>
  <si>
    <t>SF / Student</t>
  </si>
  <si>
    <t>6-12</t>
  </si>
  <si>
    <t>PK-12</t>
  </si>
  <si>
    <t>PK-8</t>
  </si>
  <si>
    <t>Gross Area</t>
  </si>
  <si>
    <t>SF using st/gr</t>
  </si>
  <si>
    <t>=</t>
  </si>
  <si>
    <t>% Students per Grade Level</t>
  </si>
  <si>
    <t>Comb. Chart</t>
  </si>
  <si>
    <t>% of Area per Grade Level</t>
  </si>
  <si>
    <r>
      <t xml:space="preserve">Enter </t>
    </r>
    <r>
      <rPr>
        <b/>
        <sz val="10"/>
        <rFont val="Arial"/>
        <family val="2"/>
      </rPr>
      <t>MIDDLE SCHOOL</t>
    </r>
    <r>
      <rPr>
        <sz val="10"/>
        <rFont val="Arial"/>
      </rPr>
      <t xml:space="preserve"> Student Enrollment  </t>
    </r>
  </si>
  <si>
    <r>
      <t xml:space="preserve">Enter </t>
    </r>
    <r>
      <rPr>
        <b/>
        <sz val="10"/>
        <rFont val="Arial"/>
        <family val="2"/>
      </rPr>
      <t>ELEMENTARY SCHOOL</t>
    </r>
    <r>
      <rPr>
        <sz val="10"/>
        <rFont val="Arial"/>
      </rPr>
      <t xml:space="preserve"> Student Enrollment</t>
    </r>
  </si>
  <si>
    <t>ES</t>
  </si>
  <si>
    <t>ME</t>
  </si>
  <si>
    <t>HS</t>
  </si>
  <si>
    <t>COMBINATION ACADEMIC</t>
  </si>
  <si>
    <t>COMBINATION SPECIAL ED</t>
  </si>
  <si>
    <t>COMBINATION MEDIA</t>
  </si>
  <si>
    <t>COMBINATION ART</t>
  </si>
  <si>
    <t>COMBINATION MUSIC</t>
  </si>
  <si>
    <t>COMBINATION ADMINISTRATION</t>
  </si>
  <si>
    <t>COMBINATION PHYSICAL ED</t>
  </si>
  <si>
    <t>MS</t>
  </si>
  <si>
    <t>COMBINATION DINING</t>
  </si>
  <si>
    <t>COMBINATION FOOD SERVICE</t>
  </si>
  <si>
    <t>COMBINATION CUSTODIAL</t>
  </si>
  <si>
    <t>COMBINATION BLDG SERVICES</t>
  </si>
  <si>
    <t>COMBINATION TECHNOLOGY</t>
  </si>
  <si>
    <t>NA</t>
  </si>
  <si>
    <t>COMBINATION FCS</t>
  </si>
  <si>
    <t>COMBINATION BUSINESS</t>
  </si>
  <si>
    <t>C-AC</t>
  </si>
  <si>
    <t>C-SE</t>
  </si>
  <si>
    <t>C-AD</t>
  </si>
  <si>
    <t>C-MC</t>
  </si>
  <si>
    <t>C-VA</t>
  </si>
  <si>
    <t>C-MU</t>
  </si>
  <si>
    <t>C-TE</t>
  </si>
  <si>
    <t>C-BE</t>
  </si>
  <si>
    <t>C-FCS</t>
  </si>
  <si>
    <t>C-PE</t>
  </si>
  <si>
    <t>C-SD</t>
  </si>
  <si>
    <t>C-FS</t>
  </si>
  <si>
    <t>C-CU</t>
  </si>
  <si>
    <t>C-BS</t>
  </si>
  <si>
    <t>Facility Subtotal:</t>
  </si>
  <si>
    <t>Facility Total:</t>
  </si>
  <si>
    <t>Includes all spaces included in traditional bracketing program areas identified under C-AD Administrative Spaces.</t>
  </si>
  <si>
    <t>Includes all spaces included in traditional bracketing program areas identified under C-FS Food Service Spaces, C-CU Custodial Spaces, C-BS Building Service Spaces.</t>
  </si>
  <si>
    <r>
      <rPr>
        <b/>
        <u/>
        <sz val="8"/>
        <rFont val="Arial"/>
        <family val="2"/>
      </rPr>
      <t>MINIMUM SQUARE FOOTAGE REQUIRED</t>
    </r>
    <r>
      <rPr>
        <sz val="8"/>
        <rFont val="Arial"/>
        <family val="2"/>
      </rPr>
      <t xml:space="preserve"> - Includes C-AC Academic Core Spaces, C-SE Special Education Spaces, C-MC Media Center Spaces, C-VA Visual Arts Spaces, C-MU Music Spaces, C-TE Technology Spaces, C-BE Business Education Spaces, C-FCS Family and Consumer Science Spaces, and C-SD Student Dining Spaces derived from total areas developed with traditional bracketing program areas including the ADDITIONAL C-AC-9a Small Group Room, C-AC-13 Multi-use Studio, C-AC-14 Kinesthetic Learning Studio included in the 2011 Design Manual Update.</t>
    </r>
  </si>
  <si>
    <r>
      <rPr>
        <b/>
        <u/>
        <sz val="8"/>
        <rFont val="Arial"/>
        <family val="2"/>
      </rPr>
      <t>MAXIMUM SQUARE FOOTAGE ALLOWED</t>
    </r>
    <r>
      <rPr>
        <sz val="8"/>
        <rFont val="Arial"/>
        <family val="2"/>
      </rPr>
      <t xml:space="preserve"> - Includes all spaces included in traditional bracketing program areas identified under C-PE Physical Education Spaces.</t>
    </r>
  </si>
  <si>
    <t>Combination Special Education Worksheet</t>
  </si>
  <si>
    <t>C-SE-1</t>
  </si>
  <si>
    <t>C-SE-2</t>
  </si>
  <si>
    <t>C-SE-3</t>
  </si>
  <si>
    <t>C-SE-4</t>
  </si>
  <si>
    <t>C-SE-5</t>
  </si>
  <si>
    <t>Combination Administrative Worksheet</t>
  </si>
  <si>
    <t>E/M/H-AD-1</t>
  </si>
  <si>
    <t>E/M/H-AD-2</t>
  </si>
  <si>
    <t>E/M/H-AD-3</t>
  </si>
  <si>
    <t>E/M/H-AD-4</t>
  </si>
  <si>
    <t>E/M/H-AD-5</t>
  </si>
  <si>
    <t>E/M/H-AD-6</t>
  </si>
  <si>
    <t>E/M/H-AD-7</t>
  </si>
  <si>
    <t>E/M/H-AD-8</t>
  </si>
  <si>
    <t>E/M/H-AD-9</t>
  </si>
  <si>
    <t>E/M/H-AD-10</t>
  </si>
  <si>
    <t>E/M/H-AD-11</t>
  </si>
  <si>
    <t>E/M/H-AD-12</t>
  </si>
  <si>
    <t>E/M/H-AD-13</t>
  </si>
  <si>
    <t>E/M/H-AD-14</t>
  </si>
  <si>
    <t>E/M/H-AD-15</t>
  </si>
  <si>
    <t>E/M/H-AD-16</t>
  </si>
  <si>
    <t>E/M/H-AD-17</t>
  </si>
  <si>
    <t>Guidance Conf. &amp; Career Ctr.</t>
  </si>
  <si>
    <t>Sample School District, SAMPLE COMBINATION SCHOOL SCLE</t>
  </si>
  <si>
    <t>COMBINATION SCHOOL</t>
  </si>
  <si>
    <t>Document Storage</t>
  </si>
  <si>
    <t>Instrument Room</t>
  </si>
  <si>
    <t>9-12</t>
  </si>
  <si>
    <t>E/M/H-SD-1</t>
  </si>
  <si>
    <t>E/M/H-SD-2</t>
  </si>
  <si>
    <t>E&amp;M-SD-3/H-SD-7</t>
  </si>
  <si>
    <t>E&amp;M-SD-4/H-SD-8</t>
  </si>
  <si>
    <t>Combined Student Dining Worksheet</t>
  </si>
  <si>
    <t>Combined Custodial Worksheet</t>
  </si>
  <si>
    <t>E/M/H-CU-1</t>
  </si>
  <si>
    <t>E/M/H-CU-2</t>
  </si>
  <si>
    <t>E/M/H-FS-0</t>
  </si>
  <si>
    <t>E/M/H-FS-1</t>
  </si>
  <si>
    <t>E/M/H-FS-1a</t>
  </si>
  <si>
    <t xml:space="preserve">     Preparation Area</t>
  </si>
  <si>
    <t>E/M/H-FS-1b</t>
  </si>
  <si>
    <t>E/M/H-FS-1c</t>
  </si>
  <si>
    <t>E/M/H-FS-1d</t>
  </si>
  <si>
    <t>E/M/H-FS-1e</t>
  </si>
  <si>
    <t>E/M/H-FS-2</t>
  </si>
  <si>
    <t>E/M/H-FS-3</t>
  </si>
  <si>
    <t>RestroomLocker Rm</t>
  </si>
  <si>
    <t>H-FS-0</t>
  </si>
  <si>
    <t>H-FS-1</t>
  </si>
  <si>
    <t>H-FS-1a</t>
  </si>
  <si>
    <t>H-FS-1b</t>
  </si>
  <si>
    <t>H-FS-1c</t>
  </si>
  <si>
    <t>H-FS-1d</t>
  </si>
  <si>
    <t>H-FS-2</t>
  </si>
  <si>
    <t>H-FS-3</t>
  </si>
  <si>
    <t>H-FS-1e</t>
  </si>
  <si>
    <t>Combined Food Service Worksheet</t>
  </si>
  <si>
    <t>Combined Building Services Worksheet</t>
  </si>
  <si>
    <t>/</t>
  </si>
  <si>
    <r>
      <t xml:space="preserve">Enter "New" and "Existing" net square footage totals from schematic diagrams for areas identified in traditional bracketing as </t>
    </r>
    <r>
      <rPr>
        <b/>
        <sz val="8"/>
        <rFont val="Arial"/>
        <family val="2"/>
      </rPr>
      <t>E-AC Academic Core Spaces.</t>
    </r>
  </si>
  <si>
    <t>EXAMPLE</t>
  </si>
  <si>
    <t>400 Students</t>
  </si>
  <si>
    <t>550 Students</t>
  </si>
  <si>
    <t>700 Students</t>
  </si>
  <si>
    <t>1000 Students</t>
  </si>
  <si>
    <t>1500 Students</t>
  </si>
  <si>
    <t>2000 Students</t>
  </si>
  <si>
    <r>
      <t xml:space="preserve">Grade Configuration:    </t>
    </r>
    <r>
      <rPr>
        <sz val="10"/>
        <rFont val="Arial"/>
      </rPr>
      <t>PK-5</t>
    </r>
  </si>
  <si>
    <t>Number of Students</t>
  </si>
  <si>
    <t>Square Feet Per Student</t>
  </si>
  <si>
    <t>Total Gross Square Feet Funded</t>
  </si>
  <si>
    <t>Facility Total</t>
  </si>
  <si>
    <t>Construction Factor</t>
  </si>
  <si>
    <t>Gross Square Feet Developed</t>
  </si>
  <si>
    <t>400-700</t>
  </si>
  <si>
    <t>1000-2000</t>
  </si>
  <si>
    <r>
      <t xml:space="preserve">Enter "New" and "Existing" net square footage totals from schematic diagrams for areas identified in traditional bracketing as </t>
    </r>
    <r>
      <rPr>
        <b/>
        <sz val="8"/>
        <rFont val="Arial"/>
        <family val="2"/>
      </rPr>
      <t>E-SE Special Education Spaces.</t>
    </r>
  </si>
  <si>
    <r>
      <t xml:space="preserve">Enter "New" and "Existing" net square footage totals from schematic diagrams for areas identified in traditional bracketing as </t>
    </r>
    <r>
      <rPr>
        <b/>
        <sz val="8"/>
        <rFont val="Arial"/>
        <family val="2"/>
      </rPr>
      <t>E-AD Administration Spaces.</t>
    </r>
  </si>
  <si>
    <r>
      <t xml:space="preserve">Enter "New" and "Existing" net square footage totals from schematic diagrams for areas identified in traditional bracketing as </t>
    </r>
    <r>
      <rPr>
        <b/>
        <sz val="8"/>
        <rFont val="Arial"/>
        <family val="2"/>
      </rPr>
      <t>E-MC Media Center Spaces.</t>
    </r>
  </si>
  <si>
    <r>
      <t xml:space="preserve">Enter "New" and "Existing" net square footage totals from schematic diagrams for areas identified in traditional bracketing as </t>
    </r>
    <r>
      <rPr>
        <b/>
        <sz val="8"/>
        <rFont val="Arial"/>
        <family val="2"/>
      </rPr>
      <t>E-VA Visual Arts Spaces.</t>
    </r>
  </si>
  <si>
    <r>
      <t xml:space="preserve">Enter "New" and "Existing" net square footage totals from schematic diagrams for areas identified in traditional bracketing as </t>
    </r>
    <r>
      <rPr>
        <b/>
        <sz val="8"/>
        <rFont val="Arial"/>
        <family val="2"/>
      </rPr>
      <t>E-MU Music Spaces.</t>
    </r>
  </si>
  <si>
    <r>
      <t xml:space="preserve">Enter "New" and "Existing" net square footage totals from schematic diagrams for areas identified in traditional bracketing as </t>
    </r>
    <r>
      <rPr>
        <b/>
        <sz val="8"/>
        <rFont val="Arial"/>
        <family val="2"/>
      </rPr>
      <t>E-PE Physical Education Spaces</t>
    </r>
    <r>
      <rPr>
        <sz val="8"/>
        <rFont val="Arial"/>
        <family val="2"/>
      </rPr>
      <t>.</t>
    </r>
  </si>
  <si>
    <r>
      <t xml:space="preserve">Enter "New" and "Existing" net square footage totals from schematic diagrams for areas identified in traditional bracketing as </t>
    </r>
    <r>
      <rPr>
        <b/>
        <sz val="8"/>
        <rFont val="Arial"/>
        <family val="2"/>
      </rPr>
      <t>E-SD Student Dining Spaces.</t>
    </r>
  </si>
  <si>
    <r>
      <t xml:space="preserve">Enter "New" and "Existing" net square footage totals from schematic diagrams for areas identified in traditional bracketing as </t>
    </r>
    <r>
      <rPr>
        <b/>
        <sz val="8"/>
        <rFont val="Arial"/>
        <family val="2"/>
      </rPr>
      <t>E-FS Food Service Spaces.</t>
    </r>
  </si>
  <si>
    <r>
      <t xml:space="preserve">Enter "New" and "Existing" net square footage totals from schematic diagrams for areas identified in traditional bracketing as </t>
    </r>
    <r>
      <rPr>
        <b/>
        <sz val="8"/>
        <rFont val="Arial"/>
        <family val="2"/>
      </rPr>
      <t>E-CU Custodial Spaces.</t>
    </r>
  </si>
  <si>
    <r>
      <t xml:space="preserve">Enter "New" and "Existing" net square footage totals from schematic diagrams for areas identified in traditional bracketing as </t>
    </r>
    <r>
      <rPr>
        <b/>
        <sz val="8"/>
        <rFont val="Arial"/>
        <family val="2"/>
      </rPr>
      <t>E-BS Building Services.</t>
    </r>
  </si>
  <si>
    <r>
      <t xml:space="preserve">Enter "New" and "Existing" net square footage totals from schematic diagrams for areas identified in traditional bracketing as </t>
    </r>
    <r>
      <rPr>
        <b/>
        <sz val="8"/>
        <rFont val="Arial"/>
        <family val="2"/>
      </rPr>
      <t>M-AC Academic Core Spaces.</t>
    </r>
  </si>
  <si>
    <r>
      <t xml:space="preserve">Enter "New" and "Existing" net square footage totals from schematic diagrams for areas identified in traditional bracketing as </t>
    </r>
    <r>
      <rPr>
        <b/>
        <sz val="8"/>
        <rFont val="Arial"/>
        <family val="2"/>
      </rPr>
      <t>M-SE Special Education Spaces.</t>
    </r>
  </si>
  <si>
    <r>
      <t xml:space="preserve">Enter "New" and "Existing" net square footage totals from schematic diagrams for areas identified in traditional bracketing as </t>
    </r>
    <r>
      <rPr>
        <b/>
        <sz val="8"/>
        <rFont val="Arial"/>
        <family val="2"/>
      </rPr>
      <t>M-AD Administration Spaces.</t>
    </r>
  </si>
  <si>
    <r>
      <t xml:space="preserve">Enter "New" and "Existing" net square footage totals from schematic diagrams for areas identified in traditional bracketing as </t>
    </r>
    <r>
      <rPr>
        <b/>
        <sz val="8"/>
        <rFont val="Arial"/>
        <family val="2"/>
      </rPr>
      <t>M-MC Media Center Spaces.</t>
    </r>
  </si>
  <si>
    <r>
      <t xml:space="preserve">Enter "New" and "Existing" net square footage totals from schematic diagrams for areas identified in traditional bracketing as </t>
    </r>
    <r>
      <rPr>
        <b/>
        <sz val="8"/>
        <rFont val="Arial"/>
        <family val="2"/>
      </rPr>
      <t>M-VA Visual Arts Spaces.</t>
    </r>
  </si>
  <si>
    <r>
      <t xml:space="preserve">Enter "New" and "Existing" net square footage totals from schematic diagrams for areas identified in traditional bracketing as </t>
    </r>
    <r>
      <rPr>
        <b/>
        <sz val="8"/>
        <rFont val="Arial"/>
        <family val="2"/>
      </rPr>
      <t>M-MU Music Spaces.</t>
    </r>
  </si>
  <si>
    <r>
      <t xml:space="preserve">Enter "New" and "Existing" net square footage totals from schematic diagrams for areas identified in traditional bracketing as </t>
    </r>
    <r>
      <rPr>
        <b/>
        <sz val="8"/>
        <rFont val="Arial"/>
        <family val="2"/>
      </rPr>
      <t>M-PE Physical Education Spaces.</t>
    </r>
  </si>
  <si>
    <r>
      <t xml:space="preserve">Enter "New" and "Existing" net square footage totals from schematic diagrams for areas identified in traditional bracketing as </t>
    </r>
    <r>
      <rPr>
        <b/>
        <sz val="8"/>
        <rFont val="Arial"/>
        <family val="2"/>
      </rPr>
      <t>M-TE Technology Spaces.</t>
    </r>
  </si>
  <si>
    <r>
      <t xml:space="preserve">Enter "New" and "Existing" net square footage totals from schematic diagrams for areas identified in traditional bracketing as </t>
    </r>
    <r>
      <rPr>
        <b/>
        <sz val="8"/>
        <rFont val="Arial"/>
        <family val="2"/>
      </rPr>
      <t>M-FCS Family and Consumer Science Spaces.</t>
    </r>
  </si>
  <si>
    <r>
      <t xml:space="preserve">Enter "New" and "Existing" net square footage totals from schematic diagrams for areas identified in traditional bracketing as </t>
    </r>
    <r>
      <rPr>
        <b/>
        <sz val="8"/>
        <rFont val="Arial"/>
        <family val="2"/>
      </rPr>
      <t>M-SD Student Dining Spaces.</t>
    </r>
  </si>
  <si>
    <r>
      <t xml:space="preserve">Enter "New" and "Existing" net square footage totals from schematic diagrams for areas identified in traditional bracketing as </t>
    </r>
    <r>
      <rPr>
        <b/>
        <sz val="8"/>
        <rFont val="Arial"/>
        <family val="2"/>
      </rPr>
      <t>M-FS Food Service Spaces.</t>
    </r>
  </si>
  <si>
    <r>
      <t xml:space="preserve">Enter "New" and "Existing" net square footage totals from schematic diagrams for areas identified in traditional bracketing as </t>
    </r>
    <r>
      <rPr>
        <b/>
        <sz val="8"/>
        <rFont val="Arial"/>
        <family val="2"/>
      </rPr>
      <t>M-CU Custodial Spaces.</t>
    </r>
  </si>
  <si>
    <r>
      <t xml:space="preserve">Enter "New" and "Existing" net square footage totals from schematic diagrams for areas identified in traditional bracketing as </t>
    </r>
    <r>
      <rPr>
        <b/>
        <sz val="8"/>
        <rFont val="Arial"/>
        <family val="2"/>
      </rPr>
      <t>M-BS Building Services.</t>
    </r>
  </si>
  <si>
    <t>EXAMPLES</t>
  </si>
  <si>
    <t>450 Students</t>
  </si>
  <si>
    <t>600 Students</t>
  </si>
  <si>
    <t>750 Students</t>
  </si>
  <si>
    <t>Grade Configuration:    6-8</t>
  </si>
  <si>
    <t>Grade Configuration:   9-12</t>
  </si>
  <si>
    <t>Program Area</t>
  </si>
  <si>
    <t>450-1000</t>
  </si>
  <si>
    <t>1500-2000</t>
  </si>
  <si>
    <t>800 - 2400</t>
  </si>
  <si>
    <r>
      <t xml:space="preserve">Enter "New" and "Existing" net square footage totals from schematic diagrams for areas identified in traditional bracketing as </t>
    </r>
    <r>
      <rPr>
        <b/>
        <sz val="8"/>
        <rFont val="Arial"/>
        <family val="2"/>
      </rPr>
      <t>H-AC Academic Core Spaces.</t>
    </r>
  </si>
  <si>
    <r>
      <t xml:space="preserve">Enter "New" and "Existing" net square footage totals from schematic diagrams for areas identified in traditional bracketing as </t>
    </r>
    <r>
      <rPr>
        <b/>
        <sz val="8"/>
        <rFont val="Arial"/>
        <family val="2"/>
      </rPr>
      <t>H-SE Special Education Spaces.</t>
    </r>
  </si>
  <si>
    <r>
      <t xml:space="preserve">Enter "New" and "Existing" net square footage totals from schematic diagrams for areas identified in traditional bracketing as </t>
    </r>
    <r>
      <rPr>
        <b/>
        <sz val="8"/>
        <rFont val="Arial"/>
        <family val="2"/>
      </rPr>
      <t>H-AD Administration Spaces.</t>
    </r>
  </si>
  <si>
    <r>
      <t xml:space="preserve">Enter "New" and "Existing" net square footage totals from schematic diagrams for areas identified in traditional bracketing as </t>
    </r>
    <r>
      <rPr>
        <b/>
        <sz val="8"/>
        <rFont val="Arial"/>
        <family val="2"/>
      </rPr>
      <t>H-MC Media Center Spaces.</t>
    </r>
  </si>
  <si>
    <r>
      <t xml:space="preserve">Enter "New" and "Existing" net square footage totals from schematic diagrams for areas identified in traditional bracketing as </t>
    </r>
    <r>
      <rPr>
        <b/>
        <sz val="8"/>
        <rFont val="Arial"/>
        <family val="2"/>
      </rPr>
      <t>H-VA Visual Arts Spaces.</t>
    </r>
  </si>
  <si>
    <r>
      <t xml:space="preserve">Enter "New" and "Existing" net square footage totals from schematic diagrams for areas identified in traditional bracketing as </t>
    </r>
    <r>
      <rPr>
        <b/>
        <sz val="8"/>
        <rFont val="Arial"/>
        <family val="2"/>
      </rPr>
      <t>H-MU Music Spaces.</t>
    </r>
  </si>
  <si>
    <r>
      <t xml:space="preserve">Enter "New" and "Existing" net square footage totals from schematic diagrams for areas identified in traditional bracketing as </t>
    </r>
    <r>
      <rPr>
        <b/>
        <sz val="8"/>
        <rFont val="Arial"/>
        <family val="2"/>
      </rPr>
      <t>H-TE Technology Spaces.</t>
    </r>
  </si>
  <si>
    <r>
      <t xml:space="preserve">Enter "New" and "Existing" net square footage totals from schematic diagrams for areas identified in traditional bracketing as </t>
    </r>
    <r>
      <rPr>
        <b/>
        <sz val="8"/>
        <rFont val="Arial"/>
        <family val="2"/>
      </rPr>
      <t>H-BE Business Education Spaces.</t>
    </r>
  </si>
  <si>
    <r>
      <t xml:space="preserve">Enter "New" and "Existing" net square footage totals from schematic diagrams for areas identified in traditional bracketing as </t>
    </r>
    <r>
      <rPr>
        <b/>
        <sz val="8"/>
        <rFont val="Arial"/>
        <family val="2"/>
      </rPr>
      <t>H-FCS Family and Consumer Science Spaces.</t>
    </r>
  </si>
  <si>
    <r>
      <t xml:space="preserve">Enter "New" and "Existing" net square footage totals from schematic diagrams for areas identified in traditional bracketing as </t>
    </r>
    <r>
      <rPr>
        <b/>
        <sz val="8"/>
        <rFont val="Arial"/>
        <family val="2"/>
      </rPr>
      <t>H-PE Physical Education Spaces</t>
    </r>
    <r>
      <rPr>
        <sz val="8"/>
        <rFont val="Arial"/>
        <family val="2"/>
      </rPr>
      <t>.</t>
    </r>
  </si>
  <si>
    <r>
      <t xml:space="preserve">Enter "New" and "Existing" net square footage totals from schematic diagrams for areas identified in traditional bracketing as </t>
    </r>
    <r>
      <rPr>
        <b/>
        <sz val="8"/>
        <rFont val="Arial"/>
        <family val="2"/>
      </rPr>
      <t>H-SD Student Dining Spaces.</t>
    </r>
  </si>
  <si>
    <r>
      <t xml:space="preserve">Enter "New" and "Existing" net square footage totals from schematic diagrams for areas identified in traditional bracketing as </t>
    </r>
    <r>
      <rPr>
        <b/>
        <sz val="8"/>
        <rFont val="Arial"/>
        <family val="2"/>
      </rPr>
      <t>H-FS Food Service Spaces.</t>
    </r>
  </si>
  <si>
    <r>
      <t xml:space="preserve">Enter "New" and "Existing" net square footage totals from schematic diagrams for areas identified in traditional bracketing as </t>
    </r>
    <r>
      <rPr>
        <b/>
        <sz val="8"/>
        <rFont val="Arial"/>
        <family val="2"/>
      </rPr>
      <t>H-CU Custodial Spaces.</t>
    </r>
  </si>
  <si>
    <r>
      <t xml:space="preserve">Enter "New" and "Existing" net square footage totals from schematic diagrams for areas identified in traditional bracketing as </t>
    </r>
    <r>
      <rPr>
        <b/>
        <sz val="8"/>
        <rFont val="Arial"/>
        <family val="2"/>
      </rPr>
      <t>H-BS Building Services.</t>
    </r>
  </si>
  <si>
    <t>EXAMPLE-650 Students</t>
  </si>
  <si>
    <t>Grade Configuration:</t>
  </si>
  <si>
    <t>Student Capacity</t>
  </si>
  <si>
    <t>Enter number of Elementary School students</t>
  </si>
  <si>
    <t>Enter number of Middle School students</t>
  </si>
  <si>
    <t>Enter number of High School students</t>
  </si>
  <si>
    <t>Total Student Capacity</t>
  </si>
  <si>
    <t>SF per Elementary School student</t>
  </si>
  <si>
    <t>SF per Middle School student</t>
  </si>
  <si>
    <t>SF per High School student</t>
  </si>
  <si>
    <t>Construction Factor (11% multiplied by the facility total)</t>
  </si>
  <si>
    <t>Total Gross Square Feet Developed:</t>
  </si>
  <si>
    <r>
      <t xml:space="preserve">Enter "New" and "Existing" net square footage totals from schematic diagrams for areas identified in traditional bracketing as </t>
    </r>
    <r>
      <rPr>
        <b/>
        <sz val="8"/>
        <rFont val="Arial"/>
        <family val="2"/>
      </rPr>
      <t>C-AC Academic Core Spaces.</t>
    </r>
  </si>
  <si>
    <r>
      <t xml:space="preserve">Enter "New" and "Existing" net square footage totals from schematic diagrams for areas identified in traditional bracketing as </t>
    </r>
    <r>
      <rPr>
        <b/>
        <sz val="8"/>
        <rFont val="Arial"/>
        <family val="2"/>
      </rPr>
      <t>C-SE Special Education Spaces.</t>
    </r>
  </si>
  <si>
    <r>
      <t xml:space="preserve">Enter "New" and "Existing" net square footage totals from schematic diagrams for areas identified in traditional bracketing as </t>
    </r>
    <r>
      <rPr>
        <b/>
        <sz val="8"/>
        <rFont val="Arial"/>
        <family val="2"/>
      </rPr>
      <t>C-AD Administration Spaces.</t>
    </r>
  </si>
  <si>
    <r>
      <t xml:space="preserve">Enter "New" and "Existing" net square footage totals from schematic diagrams for areas identified in traditional bracketing as </t>
    </r>
    <r>
      <rPr>
        <b/>
        <sz val="8"/>
        <rFont val="Arial"/>
        <family val="2"/>
      </rPr>
      <t>C-MC Media Center Spaces.</t>
    </r>
  </si>
  <si>
    <r>
      <t xml:space="preserve">Enter "New" and "Existing" net square footage totals from schematic diagrams for areas identified in traditional bracketing as </t>
    </r>
    <r>
      <rPr>
        <b/>
        <sz val="8"/>
        <rFont val="Arial"/>
        <family val="2"/>
      </rPr>
      <t>C-VA Visual Arts Spaces.</t>
    </r>
  </si>
  <si>
    <r>
      <t xml:space="preserve">Enter "New" and "Existing" net square footage totals from schematic diagrams for areas identified in traditional bracketing as </t>
    </r>
    <r>
      <rPr>
        <b/>
        <sz val="8"/>
        <rFont val="Arial"/>
        <family val="2"/>
      </rPr>
      <t>C-MU Music Spaces.</t>
    </r>
  </si>
  <si>
    <r>
      <t xml:space="preserve">Enter "New" and "Existing" net square footage totals from schematic diagrams for areas identified in traditional bracketing as </t>
    </r>
    <r>
      <rPr>
        <b/>
        <sz val="8"/>
        <rFont val="Arial"/>
        <family val="2"/>
      </rPr>
      <t>C-TE Technology Spaces.</t>
    </r>
  </si>
  <si>
    <r>
      <t xml:space="preserve">Enter "New" and "Existing" net square footage totals from schematic diagrams for areas identified in traditional bracketing as </t>
    </r>
    <r>
      <rPr>
        <b/>
        <sz val="8"/>
        <rFont val="Arial"/>
        <family val="2"/>
      </rPr>
      <t>C-BE Business Education Spaces.</t>
    </r>
  </si>
  <si>
    <r>
      <t xml:space="preserve">Enter "New" and "Existing" net square footage totals from schematic diagrams for areas identified in traditional bracketing as </t>
    </r>
    <r>
      <rPr>
        <b/>
        <sz val="8"/>
        <rFont val="Arial"/>
        <family val="2"/>
      </rPr>
      <t>C-FCS Family and Consumer Science Spaces.</t>
    </r>
  </si>
  <si>
    <r>
      <t>Enter "New" and "Existing" net square footage totals from schematic diagrams for areas identified in traditional bracketing as</t>
    </r>
    <r>
      <rPr>
        <b/>
        <sz val="8"/>
        <rFont val="Arial"/>
        <family val="2"/>
      </rPr>
      <t xml:space="preserve"> C-PE Physical Education Spaces.</t>
    </r>
  </si>
  <si>
    <r>
      <t xml:space="preserve">Enter "New" and "Existing" net square footage totals from schematic diagrams for areas identified in traditional bracketing as </t>
    </r>
    <r>
      <rPr>
        <b/>
        <sz val="8"/>
        <rFont val="Arial"/>
        <family val="2"/>
      </rPr>
      <t>C-SD Student Dining Spaces.</t>
    </r>
  </si>
  <si>
    <r>
      <t xml:space="preserve">Enter "New" and "Existing" net square footage totals from schematic diagrams for areas identified in traditional bracketing as </t>
    </r>
    <r>
      <rPr>
        <b/>
        <sz val="8"/>
        <rFont val="Arial"/>
        <family val="2"/>
      </rPr>
      <t>C-FS Food Service Spaces.</t>
    </r>
  </si>
  <si>
    <r>
      <t xml:space="preserve">Enter "New" and "Existing" net square footage totals from schematic diagrams for areas identified in traditional bracketing as </t>
    </r>
    <r>
      <rPr>
        <b/>
        <sz val="8"/>
        <rFont val="Arial"/>
        <family val="2"/>
      </rPr>
      <t>C-CU Custodial Spaces.</t>
    </r>
  </si>
  <si>
    <r>
      <t xml:space="preserve">Enter "New" and "Existing" net square footage totals from schematic diagrams for areas identified in traditional bracketing as </t>
    </r>
    <r>
      <rPr>
        <b/>
        <sz val="8"/>
        <rFont val="Arial"/>
        <family val="2"/>
      </rPr>
      <t>C-BS Building Services.</t>
    </r>
  </si>
  <si>
    <t xml:space="preserve">   2400 COMBINATION-SCLE</t>
  </si>
  <si>
    <t xml:space="preserve">   2300 H-SCLE</t>
  </si>
  <si>
    <t>DO NOT PRINT THIS SHEET</t>
  </si>
  <si>
    <t>Elementary</t>
  </si>
  <si>
    <t>Middle</t>
  </si>
  <si>
    <t>High</t>
  </si>
  <si>
    <t>CT Core</t>
  </si>
  <si>
    <t>CT Program</t>
  </si>
  <si>
    <t>PK–8</t>
  </si>
  <si>
    <t>6–12</t>
  </si>
  <si>
    <t>PK–12</t>
  </si>
  <si>
    <t>SF/st</t>
  </si>
  <si>
    <t>Students</t>
  </si>
  <si>
    <t>slope</t>
  </si>
  <si>
    <t>y-intercept</t>
  </si>
  <si>
    <t>Gross Area from Chart</t>
  </si>
  <si>
    <t>Can Use Calculated Intuition</t>
  </si>
  <si>
    <t>Grade Level</t>
  </si>
  <si>
    <t>No. of Students</t>
  </si>
  <si>
    <t>CTCore</t>
  </si>
  <si>
    <t>CTProgram</t>
  </si>
  <si>
    <t>+</t>
  </si>
  <si>
    <t>Total</t>
  </si>
  <si>
    <t>elementary</t>
  </si>
  <si>
    <t>combo</t>
  </si>
  <si>
    <t>high</t>
  </si>
  <si>
    <t>middle</t>
  </si>
  <si>
    <t>CurrentYear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</si>
</sst>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_(* \(#,##0\);_(* &quot;-&quot;_);_(@_)"/>
    <numFmt numFmtId="164" formatCode="0_)"/>
    <numFmt numFmtId="165" formatCode="0.00_);\(0.00\)"/>
    <numFmt numFmtId="166" formatCode="0.00_)"/>
    <numFmt numFmtId="167" formatCode="0.0"/>
  </numFmts>
  <fonts count="58" x14ac:knownFonts="1">
    <font>
      <sz val="10"/>
      <name val="Arial"/>
    </font>
    <font>
      <sz val="10"/>
      <name val="Arial"/>
      <family val="2"/>
    </font>
    <font>
      <sz val="10"/>
      <name val="Arial"/>
      <family val="2"/>
    </font>
    <font>
      <b/>
      <sz val="9"/>
      <name val="Arial"/>
      <family val="2"/>
    </font>
    <font>
      <sz val="9"/>
      <name val="Arial"/>
      <family val="2"/>
    </font>
    <font>
      <b/>
      <sz val="11"/>
      <name val="Arial"/>
      <family val="2"/>
    </font>
    <font>
      <b/>
      <sz val="10"/>
      <color indexed="8"/>
      <name val="Arial"/>
      <family val="2"/>
    </font>
    <font>
      <b/>
      <sz val="10"/>
      <name val="Arial"/>
      <family val="2"/>
    </font>
    <font>
      <sz val="10"/>
      <color indexed="8"/>
      <name val="Arial"/>
      <family val="2"/>
    </font>
    <font>
      <b/>
      <sz val="10"/>
      <color indexed="8"/>
      <name val="Arial"/>
      <family val="2"/>
    </font>
    <font>
      <sz val="9"/>
      <color indexed="8"/>
      <name val="Arial"/>
      <family val="2"/>
    </font>
    <font>
      <b/>
      <i/>
      <sz val="10"/>
      <name val="Arial"/>
      <family val="2"/>
    </font>
    <font>
      <sz val="10"/>
      <name val="Arial"/>
      <family val="2"/>
    </font>
    <font>
      <b/>
      <sz val="10"/>
      <name val="Arial"/>
      <family val="2"/>
    </font>
    <font>
      <sz val="8"/>
      <name val="Arial"/>
      <family val="2"/>
    </font>
    <font>
      <b/>
      <sz val="8"/>
      <name val="Arial"/>
      <family val="2"/>
    </font>
    <font>
      <sz val="10"/>
      <color indexed="8"/>
      <name val="Arial"/>
      <family val="2"/>
    </font>
    <font>
      <sz val="8"/>
      <color indexed="8"/>
      <name val="Arial"/>
      <family val="2"/>
    </font>
    <font>
      <sz val="7"/>
      <color indexed="8"/>
      <name val="Arial"/>
      <family val="2"/>
    </font>
    <font>
      <b/>
      <sz val="8"/>
      <color indexed="8"/>
      <name val="Arial"/>
      <family val="2"/>
    </font>
    <font>
      <b/>
      <sz val="9"/>
      <color indexed="8"/>
      <name val="Arial"/>
      <family val="2"/>
    </font>
    <font>
      <b/>
      <i/>
      <sz val="8"/>
      <name val="Arial"/>
      <family val="2"/>
    </font>
    <font>
      <b/>
      <i/>
      <sz val="10"/>
      <color indexed="8"/>
      <name val="Arial"/>
      <family val="2"/>
    </font>
    <font>
      <b/>
      <sz val="16"/>
      <color theme="0"/>
      <name val="Arial"/>
      <family val="2"/>
    </font>
    <font>
      <sz val="10"/>
      <color theme="0"/>
      <name val="Arial"/>
      <family val="2"/>
    </font>
    <font>
      <b/>
      <i/>
      <sz val="7"/>
      <color indexed="8"/>
      <name val="Arial"/>
      <family val="2"/>
    </font>
    <font>
      <b/>
      <i/>
      <sz val="8"/>
      <color indexed="8"/>
      <name val="Arial"/>
      <family val="2"/>
    </font>
    <font>
      <b/>
      <sz val="10"/>
      <color theme="1"/>
      <name val="Arial"/>
      <family val="2"/>
    </font>
    <font>
      <sz val="9.5"/>
      <color indexed="8"/>
      <name val="Arial"/>
      <family val="2"/>
    </font>
    <font>
      <b/>
      <i/>
      <sz val="10"/>
      <color rgb="FFFF0000"/>
      <name val="Arial"/>
      <family val="2"/>
    </font>
    <font>
      <b/>
      <sz val="13"/>
      <color indexed="8"/>
      <name val="Arial"/>
      <family val="2"/>
    </font>
    <font>
      <b/>
      <u/>
      <sz val="8"/>
      <name val="Arial"/>
      <family val="2"/>
    </font>
    <font>
      <b/>
      <sz val="16"/>
      <color rgb="FFFF0000"/>
      <name val="Arial"/>
      <family val="2"/>
    </font>
    <font>
      <b/>
      <sz val="9"/>
      <color rgb="FFFF0000"/>
      <name val="Arial"/>
      <family val="2"/>
    </font>
    <font>
      <sz val="9"/>
      <color rgb="FF00B050"/>
      <name val="Arial"/>
      <family val="2"/>
    </font>
    <font>
      <b/>
      <sz val="9"/>
      <color rgb="FF00B050"/>
      <name val="Arial"/>
      <family val="2"/>
    </font>
    <font>
      <sz val="8"/>
      <color rgb="FFFF0000"/>
      <name val="Arial"/>
      <family val="2"/>
    </font>
    <font>
      <b/>
      <sz val="16"/>
      <color rgb="FFFFFF00"/>
      <name val="Arial"/>
      <family val="2"/>
    </font>
    <font>
      <sz val="10"/>
      <color rgb="FFFFFF00"/>
      <name val="Arial"/>
      <family val="2"/>
    </font>
    <font>
      <b/>
      <sz val="9"/>
      <color rgb="FFFFFF00"/>
      <name val="Arial"/>
      <family val="2"/>
    </font>
    <font>
      <b/>
      <sz val="10"/>
      <color rgb="FFFFFF00"/>
      <name val="Arial"/>
      <family val="2"/>
    </font>
    <font>
      <u/>
      <sz val="10"/>
      <color theme="10"/>
      <name val="Arial"/>
      <family val="2"/>
    </font>
    <font>
      <u/>
      <sz val="10"/>
      <color indexed="12"/>
      <name val="Arial"/>
      <family val="2"/>
    </font>
    <font>
      <sz val="10"/>
      <color theme="1"/>
      <name val="Arial"/>
      <family val="2"/>
    </font>
    <font>
      <b/>
      <sz val="10"/>
      <color theme="0"/>
      <name val="Arial"/>
      <family val="2"/>
    </font>
    <font>
      <b/>
      <sz val="10"/>
      <color rgb="FFFF0000"/>
      <name val="Arial"/>
      <family val="2"/>
    </font>
    <font>
      <b/>
      <sz val="9"/>
      <color theme="0"/>
      <name val="Arial"/>
      <family val="2"/>
    </font>
    <font>
      <b/>
      <sz val="9"/>
      <color theme="1"/>
      <name val="Arial"/>
      <family val="2"/>
    </font>
    <font>
      <b/>
      <sz val="10"/>
      <color theme="4" tint="-0.249977111117893"/>
      <name val="Arial"/>
      <family val="2"/>
    </font>
    <font>
      <sz val="10"/>
      <color theme="4" tint="-0.249977111117893"/>
      <name val="Arial"/>
      <family val="2"/>
    </font>
    <font>
      <sz val="10"/>
      <color theme="3" tint="0.39997558519241921"/>
      <name val="Arial"/>
      <family val="2"/>
    </font>
    <font>
      <b/>
      <sz val="10"/>
      <color theme="3" tint="0.39997558519241921"/>
      <name val="Arial"/>
      <family val="2"/>
    </font>
    <font>
      <b/>
      <i/>
      <sz val="10"/>
      <color theme="1"/>
      <name val="Arial"/>
      <family val="2"/>
    </font>
    <font>
      <i/>
      <sz val="10"/>
      <color indexed="8"/>
      <name val="Arial"/>
      <family val="2"/>
    </font>
    <font>
      <i/>
      <sz val="10"/>
      <name val="Arial"/>
      <family val="2"/>
    </font>
    <font>
      <sz val="10"/>
      <color indexed="55"/>
      <name val="Arial"/>
      <family val="2"/>
    </font>
    <font>
      <b/>
      <sz val="10"/>
      <color indexed="55"/>
      <name val="Arial"/>
      <family val="2"/>
    </font>
    <font>
      <sz val="8"/>
      <color rgb="FF000000"/>
      <name val="Tahoma"/>
      <family val="2"/>
    </font>
  </fonts>
  <fills count="27">
    <fill>
      <patternFill patternType="none"/>
    </fill>
    <fill>
      <patternFill patternType="gray125"/>
    </fill>
    <fill>
      <patternFill patternType="solid">
        <fgColor indexed="13"/>
        <bgColor indexed="64"/>
      </patternFill>
    </fill>
    <fill>
      <patternFill patternType="solid">
        <fgColor indexed="40"/>
        <bgColor indexed="64"/>
      </patternFill>
    </fill>
    <fill>
      <patternFill patternType="solid">
        <fgColor indexed="44"/>
        <bgColor indexed="64"/>
      </patternFill>
    </fill>
    <fill>
      <patternFill patternType="solid">
        <fgColor rgb="FFFFFF00"/>
        <bgColor indexed="64"/>
      </patternFill>
    </fill>
    <fill>
      <patternFill patternType="solid">
        <fgColor theme="1"/>
        <bgColor indexed="64"/>
      </patternFill>
    </fill>
    <fill>
      <patternFill patternType="solid">
        <fgColor theme="0" tint="-0.249977111117893"/>
        <bgColor indexed="64"/>
      </patternFill>
    </fill>
    <fill>
      <patternFill patternType="solid">
        <fgColor rgb="FFFF0000"/>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indexed="42"/>
        <bgColor indexed="64"/>
      </patternFill>
    </fill>
    <fill>
      <patternFill patternType="solid">
        <fgColor rgb="FF00B050"/>
        <bgColor indexed="64"/>
      </patternFill>
    </fill>
    <fill>
      <patternFill patternType="solid">
        <fgColor rgb="FF00B0F0"/>
        <bgColor indexed="64"/>
      </patternFill>
    </fill>
    <fill>
      <patternFill patternType="solid">
        <fgColor rgb="FF92D050"/>
        <bgColor indexed="64"/>
      </patternFill>
    </fill>
    <fill>
      <patternFill patternType="solid">
        <fgColor indexed="9"/>
        <bgColor indexed="64"/>
      </patternFill>
    </fill>
    <fill>
      <patternFill patternType="solid">
        <fgColor indexed="9"/>
        <bgColor indexed="26"/>
      </patternFill>
    </fill>
    <fill>
      <patternFill patternType="solid">
        <fgColor indexed="26"/>
        <bgColor indexed="9"/>
      </patternFill>
    </fill>
    <fill>
      <patternFill patternType="solid">
        <fgColor indexed="47"/>
        <bgColor indexed="41"/>
      </patternFill>
    </fill>
    <fill>
      <patternFill patternType="solid">
        <fgColor indexed="13"/>
        <bgColor indexed="34"/>
      </patternFill>
    </fill>
    <fill>
      <patternFill patternType="solid">
        <fgColor indexed="42"/>
        <bgColor indexed="27"/>
      </patternFill>
    </fill>
    <fill>
      <patternFill patternType="solid">
        <fgColor indexed="22"/>
        <bgColor indexed="47"/>
      </patternFill>
    </fill>
    <fill>
      <patternFill patternType="solid">
        <fgColor indexed="41"/>
        <bgColor indexed="47"/>
      </patternFill>
    </fill>
    <fill>
      <patternFill patternType="solid">
        <fgColor indexed="31"/>
        <bgColor indexed="41"/>
      </patternFill>
    </fill>
    <fill>
      <patternFill patternType="solid">
        <fgColor indexed="27"/>
        <bgColor indexed="31"/>
      </patternFill>
    </fill>
  </fills>
  <borders count="185">
    <border>
      <left/>
      <right/>
      <top/>
      <bottom/>
      <diagonal/>
    </border>
    <border>
      <left/>
      <right/>
      <top/>
      <bottom style="medium">
        <color indexed="8"/>
      </bottom>
      <diagonal/>
    </border>
    <border>
      <left/>
      <right/>
      <top style="medium">
        <color indexed="8"/>
      </top>
      <bottom/>
      <diagonal/>
    </border>
    <border>
      <left/>
      <right style="medium">
        <color indexed="8"/>
      </right>
      <top/>
      <bottom/>
      <diagonal/>
    </border>
    <border>
      <left style="medium">
        <color indexed="8"/>
      </left>
      <right/>
      <top/>
      <bottom/>
      <diagonal/>
    </border>
    <border>
      <left/>
      <right style="medium">
        <color indexed="8"/>
      </right>
      <top/>
      <bottom style="thin">
        <color indexed="8"/>
      </bottom>
      <diagonal/>
    </border>
    <border>
      <left style="medium">
        <color indexed="8"/>
      </left>
      <right/>
      <top/>
      <bottom style="medium">
        <color indexed="8"/>
      </bottom>
      <diagonal/>
    </border>
    <border>
      <left/>
      <right style="medium">
        <color indexed="8"/>
      </right>
      <top/>
      <bottom style="medium">
        <color indexed="8"/>
      </bottom>
      <diagonal/>
    </border>
    <border>
      <left style="medium">
        <color indexed="8"/>
      </left>
      <right style="medium">
        <color indexed="8"/>
      </right>
      <top/>
      <bottom style="medium">
        <color indexed="8"/>
      </bottom>
      <diagonal/>
    </border>
    <border>
      <left style="medium">
        <color indexed="8"/>
      </left>
      <right/>
      <top style="thin">
        <color indexed="8"/>
      </top>
      <bottom/>
      <diagonal/>
    </border>
    <border>
      <left/>
      <right/>
      <top/>
      <bottom style="thin">
        <color indexed="8"/>
      </bottom>
      <diagonal/>
    </border>
    <border>
      <left style="medium">
        <color indexed="8"/>
      </left>
      <right style="medium">
        <color indexed="8"/>
      </right>
      <top/>
      <bottom/>
      <diagonal/>
    </border>
    <border>
      <left style="medium">
        <color indexed="8"/>
      </left>
      <right style="medium">
        <color indexed="8"/>
      </right>
      <top/>
      <bottom style="thin">
        <color indexed="8"/>
      </bottom>
      <diagonal/>
    </border>
    <border>
      <left style="medium">
        <color indexed="8"/>
      </left>
      <right style="medium">
        <color indexed="8"/>
      </right>
      <top style="thin">
        <color indexed="8"/>
      </top>
      <bottom style="thin">
        <color indexed="8"/>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style="medium">
        <color indexed="8"/>
      </right>
      <top style="medium">
        <color indexed="8"/>
      </top>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top style="medium">
        <color indexed="8"/>
      </top>
      <bottom style="medium">
        <color indexed="8"/>
      </bottom>
      <diagonal/>
    </border>
    <border>
      <left style="thin">
        <color indexed="8"/>
      </left>
      <right/>
      <top style="medium">
        <color indexed="8"/>
      </top>
      <bottom style="medium">
        <color indexed="8"/>
      </bottom>
      <diagonal/>
    </border>
    <border>
      <left style="medium">
        <color theme="1"/>
      </left>
      <right style="thin">
        <color auto="1"/>
      </right>
      <top style="thin">
        <color auto="1"/>
      </top>
      <bottom style="medium">
        <color theme="1"/>
      </bottom>
      <diagonal/>
    </border>
    <border>
      <left style="thin">
        <color auto="1"/>
      </left>
      <right style="thin">
        <color auto="1"/>
      </right>
      <top style="thin">
        <color auto="1"/>
      </top>
      <bottom style="medium">
        <color theme="1"/>
      </bottom>
      <diagonal/>
    </border>
    <border>
      <left style="thin">
        <color auto="1"/>
      </left>
      <right style="medium">
        <color theme="1"/>
      </right>
      <top style="thin">
        <color auto="1"/>
      </top>
      <bottom style="medium">
        <color theme="1"/>
      </bottom>
      <diagonal/>
    </border>
    <border>
      <left/>
      <right/>
      <top/>
      <bottom style="medium">
        <color theme="1"/>
      </bottom>
      <diagonal/>
    </border>
    <border>
      <left style="medium">
        <color theme="1"/>
      </left>
      <right/>
      <top/>
      <bottom/>
      <diagonal/>
    </border>
    <border>
      <left style="medium">
        <color theme="1"/>
      </left>
      <right/>
      <top/>
      <bottom style="medium">
        <color theme="1"/>
      </bottom>
      <diagonal/>
    </border>
    <border>
      <left/>
      <right style="medium">
        <color theme="1"/>
      </right>
      <top style="thin">
        <color theme="1"/>
      </top>
      <bottom style="medium">
        <color theme="1"/>
      </bottom>
      <diagonal/>
    </border>
    <border>
      <left style="medium">
        <color theme="1"/>
      </left>
      <right/>
      <top style="thin">
        <color theme="1"/>
      </top>
      <bottom style="medium">
        <color theme="1"/>
      </bottom>
      <diagonal/>
    </border>
    <border>
      <left style="medium">
        <color theme="1"/>
      </left>
      <right style="thin">
        <color auto="1"/>
      </right>
      <top/>
      <bottom style="medium">
        <color theme="1"/>
      </bottom>
      <diagonal/>
    </border>
    <border>
      <left style="thin">
        <color auto="1"/>
      </left>
      <right style="thin">
        <color auto="1"/>
      </right>
      <top/>
      <bottom style="medium">
        <color theme="1"/>
      </bottom>
      <diagonal/>
    </border>
    <border>
      <left style="thin">
        <color auto="1"/>
      </left>
      <right style="medium">
        <color theme="1"/>
      </right>
      <top/>
      <bottom style="medium">
        <color theme="1"/>
      </bottom>
      <diagonal/>
    </border>
    <border>
      <left style="medium">
        <color theme="1"/>
      </left>
      <right/>
      <top style="medium">
        <color theme="1"/>
      </top>
      <bottom style="thin">
        <color auto="1"/>
      </bottom>
      <diagonal/>
    </border>
    <border>
      <left/>
      <right style="medium">
        <color theme="1"/>
      </right>
      <top style="medium">
        <color theme="1"/>
      </top>
      <bottom style="thin">
        <color auto="1"/>
      </bottom>
      <diagonal/>
    </border>
    <border>
      <left style="medium">
        <color theme="1"/>
      </left>
      <right/>
      <top style="thin">
        <color auto="1"/>
      </top>
      <bottom style="thin">
        <color auto="1"/>
      </bottom>
      <diagonal/>
    </border>
    <border>
      <left/>
      <right style="medium">
        <color theme="1"/>
      </right>
      <top style="thin">
        <color auto="1"/>
      </top>
      <bottom style="thin">
        <color auto="1"/>
      </bottom>
      <diagonal/>
    </border>
    <border>
      <left style="medium">
        <color theme="1"/>
      </left>
      <right/>
      <top style="medium">
        <color theme="1"/>
      </top>
      <bottom/>
      <diagonal/>
    </border>
    <border>
      <left/>
      <right style="medium">
        <color theme="1"/>
      </right>
      <top style="medium">
        <color theme="1"/>
      </top>
      <bottom/>
      <diagonal/>
    </border>
    <border>
      <left style="medium">
        <color theme="1"/>
      </left>
      <right/>
      <top/>
      <bottom style="thin">
        <color theme="1"/>
      </bottom>
      <diagonal/>
    </border>
    <border>
      <left/>
      <right style="medium">
        <color theme="1"/>
      </right>
      <top/>
      <bottom style="thin">
        <color theme="1"/>
      </bottom>
      <diagonal/>
    </border>
    <border>
      <left style="medium">
        <color indexed="8"/>
      </left>
      <right style="medium">
        <color indexed="8"/>
      </right>
      <top style="thin">
        <color indexed="8"/>
      </top>
      <bottom/>
      <diagonal/>
    </border>
    <border>
      <left/>
      <right/>
      <top style="medium">
        <color theme="1"/>
      </top>
      <bottom/>
      <diagonal/>
    </border>
    <border>
      <left/>
      <right style="medium">
        <color theme="1"/>
      </right>
      <top/>
      <bottom style="medium">
        <color theme="1"/>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8"/>
      </left>
      <right/>
      <top style="medium">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medium">
        <color indexed="8"/>
      </right>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diagonal/>
    </border>
    <border>
      <left style="thin">
        <color indexed="8"/>
      </left>
      <right style="medium">
        <color indexed="8"/>
      </right>
      <top style="thin">
        <color indexed="8"/>
      </top>
      <bottom style="medium">
        <color indexed="8"/>
      </bottom>
      <diagonal/>
    </border>
    <border>
      <left style="thin">
        <color indexed="8"/>
      </left>
      <right/>
      <top style="medium">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medium">
        <color indexed="8"/>
      </bottom>
      <diagonal/>
    </border>
    <border>
      <left style="thick">
        <color indexed="8"/>
      </left>
      <right/>
      <top style="medium">
        <color indexed="8"/>
      </top>
      <bottom/>
      <diagonal/>
    </border>
    <border>
      <left style="medium">
        <color indexed="8"/>
      </left>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thick">
        <color indexed="8"/>
      </left>
      <right/>
      <top style="thin">
        <color indexed="8"/>
      </top>
      <bottom style="medium">
        <color indexed="8"/>
      </bottom>
      <diagonal/>
    </border>
    <border>
      <left/>
      <right style="medium">
        <color indexed="8"/>
      </right>
      <top style="thin">
        <color indexed="8"/>
      </top>
      <bottom style="medium">
        <color indexed="8"/>
      </bottom>
      <diagonal/>
    </border>
    <border>
      <left/>
      <right/>
      <top style="thin">
        <color indexed="8"/>
      </top>
      <bottom style="medium">
        <color indexed="8"/>
      </bottom>
      <diagonal/>
    </border>
    <border>
      <left style="thick">
        <color indexed="8"/>
      </left>
      <right/>
      <top/>
      <bottom/>
      <diagonal/>
    </border>
    <border>
      <left style="thick">
        <color indexed="8"/>
      </left>
      <right/>
      <top/>
      <bottom style="thick">
        <color indexed="8"/>
      </bottom>
      <diagonal/>
    </border>
    <border>
      <left/>
      <right style="medium">
        <color indexed="8"/>
      </right>
      <top/>
      <bottom style="thick">
        <color indexed="8"/>
      </bottom>
      <diagonal/>
    </border>
    <border>
      <left/>
      <right/>
      <top/>
      <bottom style="thick">
        <color indexed="8"/>
      </bottom>
      <diagonal/>
    </border>
    <border>
      <left style="thin">
        <color indexed="8"/>
      </left>
      <right style="thin">
        <color indexed="8"/>
      </right>
      <top style="thin">
        <color indexed="8"/>
      </top>
      <bottom style="medium">
        <color indexed="8"/>
      </bottom>
      <diagonal/>
    </border>
    <border>
      <left style="thin">
        <color indexed="8"/>
      </left>
      <right style="thin">
        <color indexed="8"/>
      </right>
      <top style="thin">
        <color indexed="8"/>
      </top>
      <bottom/>
      <diagonal/>
    </border>
    <border>
      <left style="medium">
        <color indexed="8"/>
      </left>
      <right style="thin">
        <color indexed="8"/>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right/>
      <top/>
      <bottom style="thin">
        <color theme="1"/>
      </bottom>
      <diagonal/>
    </border>
    <border>
      <left style="medium">
        <color indexed="8"/>
      </left>
      <right style="thin">
        <color indexed="8"/>
      </right>
      <top/>
      <bottom style="thin">
        <color indexed="8"/>
      </bottom>
      <diagonal/>
    </border>
    <border>
      <left style="medium">
        <color indexed="8"/>
      </left>
      <right style="thin">
        <color indexed="8"/>
      </right>
      <top style="thin">
        <color indexed="8"/>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
      <left/>
      <right/>
      <top style="thin">
        <color theme="1"/>
      </top>
      <bottom/>
      <diagonal/>
    </border>
    <border>
      <left/>
      <right/>
      <top style="thin">
        <color theme="1"/>
      </top>
      <bottom style="medium">
        <color theme="1"/>
      </bottom>
      <diagonal/>
    </border>
    <border>
      <left style="medium">
        <color indexed="8"/>
      </left>
      <right/>
      <top/>
      <bottom style="thin">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style="medium">
        <color indexed="8"/>
      </left>
      <right/>
      <top style="thin">
        <color indexed="8"/>
      </top>
      <bottom style="thin">
        <color indexed="8"/>
      </bottom>
      <diagonal/>
    </border>
    <border>
      <left style="medium">
        <color indexed="8"/>
      </left>
      <right/>
      <top style="thin">
        <color indexed="8"/>
      </top>
      <bottom style="medium">
        <color indexed="8"/>
      </bottom>
      <diagonal/>
    </border>
    <border>
      <left/>
      <right/>
      <top style="thin">
        <color indexed="8"/>
      </top>
      <bottom style="thin">
        <color indexed="8"/>
      </bottom>
      <diagonal/>
    </border>
    <border>
      <left/>
      <right/>
      <top style="medium">
        <color theme="1"/>
      </top>
      <bottom style="thin">
        <color auto="1"/>
      </bottom>
      <diagonal/>
    </border>
    <border>
      <left/>
      <right style="medium">
        <color indexed="8"/>
      </right>
      <top style="thin">
        <color indexed="8"/>
      </top>
      <bottom style="thin">
        <color indexed="8"/>
      </bottom>
      <diagonal/>
    </border>
    <border>
      <left style="thin">
        <color indexed="8"/>
      </left>
      <right/>
      <top/>
      <bottom style="medium">
        <color indexed="8"/>
      </bottom>
      <diagonal/>
    </border>
    <border>
      <left style="thin">
        <color indexed="8"/>
      </left>
      <right/>
      <top style="thin">
        <color indexed="8"/>
      </top>
      <bottom/>
      <diagonal/>
    </border>
    <border>
      <left style="thin">
        <color theme="1"/>
      </left>
      <right/>
      <top/>
      <bottom/>
      <diagonal/>
    </border>
    <border>
      <left style="thin">
        <color theme="1"/>
      </left>
      <right style="thin">
        <color theme="1"/>
      </right>
      <top style="thin">
        <color theme="1"/>
      </top>
      <bottom style="thin">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thin">
        <color theme="1"/>
      </left>
      <right style="thin">
        <color theme="1"/>
      </right>
      <top style="thin">
        <color theme="1"/>
      </top>
      <bottom/>
      <diagonal/>
    </border>
    <border>
      <left style="medium">
        <color theme="1"/>
      </left>
      <right/>
      <top/>
      <bottom style="medium">
        <color indexed="8"/>
      </bottom>
      <diagonal/>
    </border>
    <border>
      <left style="medium">
        <color theme="1"/>
      </left>
      <right style="thin">
        <color indexed="8"/>
      </right>
      <top style="medium">
        <color indexed="8"/>
      </top>
      <bottom style="thin">
        <color indexed="8"/>
      </bottom>
      <diagonal/>
    </border>
    <border>
      <left style="medium">
        <color theme="1"/>
      </left>
      <right style="thin">
        <color indexed="8"/>
      </right>
      <top style="thin">
        <color indexed="8"/>
      </top>
      <bottom style="thin">
        <color indexed="8"/>
      </bottom>
      <diagonal/>
    </border>
    <border>
      <left style="medium">
        <color theme="1"/>
      </left>
      <right style="thin">
        <color indexed="8"/>
      </right>
      <top style="thin">
        <color indexed="8"/>
      </top>
      <bottom/>
      <diagonal/>
    </border>
    <border>
      <left/>
      <right style="medium">
        <color theme="1"/>
      </right>
      <top/>
      <bottom style="medium">
        <color indexed="8"/>
      </bottom>
      <diagonal/>
    </border>
    <border>
      <left style="medium">
        <color theme="1"/>
      </left>
      <right/>
      <top style="medium">
        <color indexed="8"/>
      </top>
      <bottom/>
      <diagonal/>
    </border>
    <border>
      <left/>
      <right style="medium">
        <color theme="1"/>
      </right>
      <top style="medium">
        <color indexed="8"/>
      </top>
      <bottom style="thin">
        <color indexed="8"/>
      </bottom>
      <diagonal/>
    </border>
    <border>
      <left style="medium">
        <color theme="1"/>
      </left>
      <right/>
      <top style="thin">
        <color indexed="8"/>
      </top>
      <bottom style="medium">
        <color indexed="8"/>
      </bottom>
      <diagonal/>
    </border>
    <border>
      <left/>
      <right style="medium">
        <color theme="1"/>
      </right>
      <top style="thin">
        <color indexed="8"/>
      </top>
      <bottom style="medium">
        <color indexed="8"/>
      </bottom>
      <diagonal/>
    </border>
    <border>
      <left/>
      <right style="medium">
        <color theme="1"/>
      </right>
      <top/>
      <bottom/>
      <diagonal/>
    </border>
    <border>
      <left/>
      <right style="medium">
        <color theme="1"/>
      </right>
      <top/>
      <bottom style="thin">
        <color indexed="8"/>
      </bottom>
      <diagonal/>
    </border>
    <border>
      <left/>
      <right style="medium">
        <color indexed="8"/>
      </right>
      <top/>
      <bottom style="medium">
        <color theme="1"/>
      </bottom>
      <diagonal/>
    </border>
    <border>
      <left style="thin">
        <color theme="1"/>
      </left>
      <right style="thin">
        <color theme="1"/>
      </right>
      <top/>
      <bottom style="thin">
        <color theme="1"/>
      </bottom>
      <diagonal/>
    </border>
    <border>
      <left style="medium">
        <color theme="1"/>
      </left>
      <right style="thin">
        <color indexed="8"/>
      </right>
      <top/>
      <bottom style="thin">
        <color indexed="8"/>
      </bottom>
      <diagonal/>
    </border>
    <border>
      <left style="thin">
        <color indexed="8"/>
      </left>
      <right style="thin">
        <color indexed="8"/>
      </right>
      <top style="medium">
        <color theme="1"/>
      </top>
      <bottom style="medium">
        <color theme="1"/>
      </bottom>
      <diagonal/>
    </border>
    <border>
      <left style="thin">
        <color indexed="8"/>
      </left>
      <right/>
      <top style="medium">
        <color theme="1"/>
      </top>
      <bottom style="medium">
        <color theme="1"/>
      </bottom>
      <diagonal/>
    </border>
    <border>
      <left style="thin">
        <color theme="1"/>
      </left>
      <right style="thin">
        <color theme="1"/>
      </right>
      <top style="medium">
        <color theme="1"/>
      </top>
      <bottom style="medium">
        <color theme="1"/>
      </bottom>
      <diagonal/>
    </border>
    <border>
      <left style="thin">
        <color theme="1"/>
      </left>
      <right style="medium">
        <color theme="1"/>
      </right>
      <top style="medium">
        <color theme="1"/>
      </top>
      <bottom style="medium">
        <color theme="1"/>
      </bottom>
      <diagonal/>
    </border>
    <border>
      <left style="thin">
        <color theme="1"/>
      </left>
      <right style="medium">
        <color theme="1"/>
      </right>
      <top/>
      <bottom style="thin">
        <color theme="1"/>
      </bottom>
      <diagonal/>
    </border>
    <border>
      <left style="thin">
        <color theme="1"/>
      </left>
      <right style="medium">
        <color theme="1"/>
      </right>
      <top style="thin">
        <color theme="1"/>
      </top>
      <bottom style="thin">
        <color theme="1"/>
      </bottom>
      <diagonal/>
    </border>
    <border>
      <left style="thin">
        <color theme="1"/>
      </left>
      <right style="medium">
        <color theme="1"/>
      </right>
      <top style="thin">
        <color theme="1"/>
      </top>
      <bottom/>
      <diagonal/>
    </border>
    <border>
      <left style="medium">
        <color theme="1"/>
      </left>
      <right/>
      <top style="medium">
        <color theme="1"/>
      </top>
      <bottom style="thin">
        <color indexed="8"/>
      </bottom>
      <diagonal/>
    </border>
    <border>
      <left/>
      <right/>
      <top style="medium">
        <color theme="1"/>
      </top>
      <bottom style="thin">
        <color indexed="8"/>
      </bottom>
      <diagonal/>
    </border>
    <border>
      <left/>
      <right style="medium">
        <color theme="1"/>
      </right>
      <top style="medium">
        <color theme="1"/>
      </top>
      <bottom style="thin">
        <color indexed="8"/>
      </bottom>
      <diagonal/>
    </border>
    <border>
      <left style="medium">
        <color theme="1"/>
      </left>
      <right/>
      <top style="medium">
        <color indexed="8"/>
      </top>
      <bottom style="thin">
        <color indexed="8"/>
      </bottom>
      <diagonal/>
    </border>
    <border>
      <left style="medium">
        <color theme="1"/>
      </left>
      <right/>
      <top style="thin">
        <color indexed="8"/>
      </top>
      <bottom/>
      <diagonal/>
    </border>
    <border>
      <left style="medium">
        <color theme="1"/>
      </left>
      <right/>
      <top style="thin">
        <color indexed="8"/>
      </top>
      <bottom style="thin">
        <color theme="1"/>
      </bottom>
      <diagonal/>
    </border>
    <border>
      <left style="medium">
        <color indexed="8"/>
      </left>
      <right style="medium">
        <color indexed="8"/>
      </right>
      <top style="medium">
        <color theme="1"/>
      </top>
      <bottom style="medium">
        <color indexed="8"/>
      </bottom>
      <diagonal/>
    </border>
    <border>
      <left style="medium">
        <color indexed="8"/>
      </left>
      <right style="medium">
        <color indexed="8"/>
      </right>
      <top style="thin">
        <color indexed="8"/>
      </top>
      <bottom style="medium">
        <color theme="1"/>
      </bottom>
      <diagonal/>
    </border>
    <border>
      <left style="medium">
        <color indexed="8"/>
      </left>
      <right/>
      <top/>
      <bottom style="thin">
        <color theme="1"/>
      </bottom>
      <diagonal/>
    </border>
    <border>
      <left style="medium">
        <color indexed="8"/>
      </left>
      <right/>
      <top/>
      <bottom style="medium">
        <color theme="1"/>
      </bottom>
      <diagonal/>
    </border>
    <border>
      <left style="medium">
        <color indexed="8"/>
      </left>
      <right/>
      <top style="thin">
        <color indexed="8"/>
      </top>
      <bottom style="medium">
        <color theme="1"/>
      </bottom>
      <diagonal/>
    </border>
    <border>
      <left/>
      <right/>
      <top style="thin">
        <color indexed="8"/>
      </top>
      <bottom style="medium">
        <color theme="1"/>
      </bottom>
      <diagonal/>
    </border>
    <border>
      <left/>
      <right style="medium">
        <color theme="1"/>
      </right>
      <top style="thin">
        <color indexed="8"/>
      </top>
      <bottom style="medium">
        <color theme="1"/>
      </bottom>
      <diagonal/>
    </border>
    <border>
      <left style="medium">
        <color indexed="8"/>
      </left>
      <right/>
      <top style="thin">
        <color indexed="8"/>
      </top>
      <bottom style="thin">
        <color theme="1"/>
      </bottom>
      <diagonal/>
    </border>
    <border>
      <left style="medium">
        <color theme="1"/>
      </left>
      <right/>
      <top style="thin">
        <color indexed="8"/>
      </top>
      <bottom style="medium">
        <color theme="1"/>
      </bottom>
      <diagonal/>
    </border>
    <border>
      <left/>
      <right style="medium">
        <color indexed="8"/>
      </right>
      <top style="thin">
        <color indexed="8"/>
      </top>
      <bottom style="medium">
        <color theme="1"/>
      </bottom>
      <diagonal/>
    </border>
    <border>
      <left style="medium">
        <color indexed="8"/>
      </left>
      <right style="thin">
        <color indexed="8"/>
      </right>
      <top/>
      <bottom style="medium">
        <color indexed="8"/>
      </bottom>
      <diagonal/>
    </border>
    <border>
      <left style="medium">
        <color theme="1"/>
      </left>
      <right style="thin">
        <color indexed="8"/>
      </right>
      <top/>
      <bottom style="medium">
        <color indexed="8"/>
      </bottom>
      <diagonal/>
    </border>
    <border>
      <left style="thin">
        <color indexed="8"/>
      </left>
      <right style="medium">
        <color theme="1"/>
      </right>
      <top/>
      <bottom style="medium">
        <color indexed="8"/>
      </bottom>
      <diagonal/>
    </border>
    <border>
      <left style="thin">
        <color indexed="8"/>
      </left>
      <right style="medium">
        <color theme="1"/>
      </right>
      <top style="thin">
        <color indexed="8"/>
      </top>
      <bottom style="thin">
        <color indexed="8"/>
      </bottom>
      <diagonal/>
    </border>
    <border>
      <left style="medium">
        <color indexed="8"/>
      </left>
      <right style="medium">
        <color theme="1"/>
      </right>
      <top style="medium">
        <color indexed="8"/>
      </top>
      <bottom/>
      <diagonal/>
    </border>
    <border>
      <left style="medium">
        <color theme="1"/>
      </left>
      <right style="medium">
        <color theme="1"/>
      </right>
      <top/>
      <bottom/>
      <diagonal/>
    </border>
    <border>
      <left style="thin">
        <color theme="1"/>
      </left>
      <right style="medium">
        <color theme="1"/>
      </right>
      <top/>
      <bottom/>
      <diagonal/>
    </border>
    <border>
      <left style="thin">
        <color theme="1"/>
      </left>
      <right style="medium">
        <color theme="1"/>
      </right>
      <top/>
      <bottom style="medium">
        <color theme="1"/>
      </bottom>
      <diagonal/>
    </border>
    <border>
      <left/>
      <right style="thin">
        <color theme="1"/>
      </right>
      <top/>
      <bottom/>
      <diagonal/>
    </border>
    <border>
      <left style="thin">
        <color theme="1"/>
      </left>
      <right/>
      <top/>
      <bottom style="thin">
        <color theme="1"/>
      </bottom>
      <diagonal/>
    </border>
    <border>
      <left style="medium">
        <color indexed="8"/>
      </left>
      <right style="medium">
        <color theme="1"/>
      </right>
      <top/>
      <bottom/>
      <diagonal/>
    </border>
    <border>
      <left style="medium">
        <color theme="1"/>
      </left>
      <right style="medium">
        <color indexed="8"/>
      </right>
      <top/>
      <bottom/>
      <diagonal/>
    </border>
    <border>
      <left style="medium">
        <color indexed="8"/>
      </left>
      <right style="medium">
        <color theme="1"/>
      </right>
      <top/>
      <bottom style="medium">
        <color indexed="8"/>
      </bottom>
      <diagonal/>
    </border>
    <border>
      <left style="medium">
        <color indexed="8"/>
      </left>
      <right style="medium">
        <color theme="1"/>
      </right>
      <top/>
      <bottom style="medium">
        <color theme="1"/>
      </bottom>
      <diagonal/>
    </border>
    <border>
      <left/>
      <right style="medium">
        <color theme="1"/>
      </right>
      <top style="thin">
        <color indexed="8"/>
      </top>
      <bottom style="thin">
        <color indexed="8"/>
      </bottom>
      <diagonal/>
    </border>
    <border>
      <left style="thin">
        <color indexed="8"/>
      </left>
      <right style="medium">
        <color theme="1"/>
      </right>
      <top style="thin">
        <color indexed="8"/>
      </top>
      <bottom/>
      <diagonal/>
    </border>
    <border>
      <left style="thin">
        <color indexed="8"/>
      </left>
      <right style="medium">
        <color theme="1"/>
      </right>
      <top/>
      <bottom style="thin">
        <color indexed="8"/>
      </bottom>
      <diagonal/>
    </border>
    <border>
      <left/>
      <right style="medium">
        <color indexed="8"/>
      </right>
      <top style="thin">
        <color indexed="8"/>
      </top>
      <bottom/>
      <diagonal/>
    </border>
    <border>
      <left style="medium">
        <color indexed="8"/>
      </left>
      <right style="medium">
        <color indexed="8"/>
      </right>
      <top style="medium">
        <color indexed="8"/>
      </top>
      <bottom style="medium">
        <color indexed="8"/>
      </bottom>
      <diagonal/>
    </border>
    <border>
      <left/>
      <right/>
      <top style="thin">
        <color auto="1"/>
      </top>
      <bottom/>
      <diagonal/>
    </border>
    <border>
      <left/>
      <right style="medium">
        <color theme="1"/>
      </right>
      <top style="thin">
        <color auto="1"/>
      </top>
      <bottom/>
      <diagonal/>
    </border>
    <border>
      <left/>
      <right/>
      <top/>
      <bottom style="thin">
        <color auto="1"/>
      </bottom>
      <diagonal/>
    </border>
    <border>
      <left/>
      <right style="medium">
        <color theme="1"/>
      </right>
      <top/>
      <bottom style="thin">
        <color auto="1"/>
      </bottom>
      <diagonal/>
    </border>
    <border>
      <left style="medium">
        <color theme="1"/>
      </left>
      <right style="medium">
        <color indexed="8"/>
      </right>
      <top style="medium">
        <color theme="1"/>
      </top>
      <bottom/>
      <diagonal/>
    </border>
    <border>
      <left style="medium">
        <color theme="1"/>
      </left>
      <right style="thin">
        <color auto="1"/>
      </right>
      <top style="medium">
        <color theme="1"/>
      </top>
      <bottom style="medium">
        <color theme="1"/>
      </bottom>
      <diagonal/>
    </border>
    <border>
      <left style="thin">
        <color auto="1"/>
      </left>
      <right style="thin">
        <color auto="1"/>
      </right>
      <top style="medium">
        <color theme="1"/>
      </top>
      <bottom style="medium">
        <color theme="1"/>
      </bottom>
      <diagonal/>
    </border>
    <border>
      <left style="thin">
        <color auto="1"/>
      </left>
      <right style="medium">
        <color theme="1"/>
      </right>
      <top style="medium">
        <color theme="1"/>
      </top>
      <bottom style="medium">
        <color theme="1"/>
      </bottom>
      <diagonal/>
    </border>
    <border>
      <left style="medium">
        <color theme="1"/>
      </left>
      <right/>
      <top style="thin">
        <color auto="1"/>
      </top>
      <bottom/>
      <diagonal/>
    </border>
    <border>
      <left style="medium">
        <color theme="1"/>
      </left>
      <right/>
      <top/>
      <bottom style="thin">
        <color auto="1"/>
      </bottom>
      <diagonal/>
    </border>
    <border>
      <left style="medium">
        <color theme="1"/>
      </left>
      <right style="medium">
        <color indexed="8"/>
      </right>
      <top style="medium">
        <color theme="1"/>
      </top>
      <bottom style="medium">
        <color theme="1"/>
      </bottom>
      <diagonal/>
    </border>
    <border>
      <left style="medium">
        <color indexed="8"/>
      </left>
      <right style="medium">
        <color indexed="8"/>
      </right>
      <top style="medium">
        <color theme="1"/>
      </top>
      <bottom style="medium">
        <color theme="1"/>
      </bottom>
      <diagonal/>
    </border>
    <border>
      <left style="thick">
        <color theme="1"/>
      </left>
      <right/>
      <top/>
      <bottom/>
      <diagonal/>
    </border>
    <border>
      <left style="thick">
        <color indexed="8"/>
      </left>
      <right style="medium">
        <color indexed="8"/>
      </right>
      <top style="medium">
        <color indexed="8"/>
      </top>
      <bottom style="medium">
        <color indexed="8"/>
      </bottom>
      <diagonal/>
    </border>
    <border>
      <left style="thick">
        <color theme="1"/>
      </left>
      <right style="medium">
        <color indexed="8"/>
      </right>
      <top style="medium">
        <color theme="1"/>
      </top>
      <bottom style="medium">
        <color theme="1"/>
      </bottom>
      <diagonal/>
    </border>
    <border>
      <left/>
      <right style="medium">
        <color indexed="8"/>
      </right>
      <top style="medium">
        <color theme="1"/>
      </top>
      <bottom/>
      <diagonal/>
    </border>
    <border>
      <left style="medium">
        <color indexed="8"/>
      </left>
      <right style="medium">
        <color theme="1"/>
      </right>
      <top style="medium">
        <color theme="1"/>
      </top>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style="medium">
        <color theme="1"/>
      </left>
      <right style="medium">
        <color theme="1"/>
      </right>
      <top/>
      <bottom style="medium">
        <color indexed="8"/>
      </bottom>
      <diagonal/>
    </border>
    <border>
      <left style="medium">
        <color theme="1"/>
      </left>
      <right style="medium">
        <color theme="1"/>
      </right>
      <top/>
      <bottom style="thin">
        <color indexed="8"/>
      </bottom>
      <diagonal/>
    </border>
    <border>
      <left style="medium">
        <color theme="1"/>
      </left>
      <right style="medium">
        <color theme="1"/>
      </right>
      <top style="medium">
        <color theme="1"/>
      </top>
      <bottom style="medium">
        <color theme="1"/>
      </bottom>
      <diagonal/>
    </border>
    <border>
      <left style="medium">
        <color theme="1"/>
      </left>
      <right/>
      <top style="medium">
        <color theme="1"/>
      </top>
      <bottom style="thin">
        <color theme="1"/>
      </bottom>
      <diagonal/>
    </border>
    <border>
      <left style="medium">
        <color theme="1"/>
      </left>
      <right/>
      <top style="thin">
        <color theme="1"/>
      </top>
      <bottom style="thin">
        <color theme="1"/>
      </bottom>
      <diagonal/>
    </border>
    <border>
      <left style="medium">
        <color theme="1"/>
      </left>
      <right style="medium">
        <color theme="1"/>
      </right>
      <top style="medium">
        <color theme="1"/>
      </top>
      <bottom style="thin">
        <color theme="1"/>
      </bottom>
      <diagonal/>
    </border>
    <border>
      <left style="medium">
        <color theme="1"/>
      </left>
      <right style="medium">
        <color theme="1"/>
      </right>
      <top style="thin">
        <color theme="1"/>
      </top>
      <bottom style="thin">
        <color theme="1"/>
      </bottom>
      <diagonal/>
    </border>
    <border>
      <left style="medium">
        <color theme="1"/>
      </left>
      <right style="medium">
        <color theme="1"/>
      </right>
      <top style="thin">
        <color theme="1"/>
      </top>
      <bottom style="medium">
        <color theme="1"/>
      </bottom>
      <diagonal/>
    </border>
    <border>
      <left/>
      <right/>
      <top style="medium">
        <color theme="1"/>
      </top>
      <bottom style="thin">
        <color theme="1"/>
      </bottom>
      <diagonal/>
    </border>
    <border>
      <left style="medium">
        <color indexed="8"/>
      </left>
      <right style="medium">
        <color indexed="8"/>
      </right>
      <top style="medium">
        <color indexed="8"/>
      </top>
      <bottom style="thin">
        <color indexed="8"/>
      </bottom>
      <diagonal/>
    </border>
    <border>
      <left style="medium">
        <color indexed="8"/>
      </left>
      <right style="medium">
        <color indexed="8"/>
      </right>
      <top style="thin">
        <color indexed="8"/>
      </top>
      <bottom style="medium">
        <color indexed="8"/>
      </bottom>
      <diagonal/>
    </border>
  </borders>
  <cellStyleXfs count="6">
    <xf numFmtId="0" fontId="0" fillId="0" borderId="0"/>
    <xf numFmtId="0" fontId="41" fillId="0" borderId="0" applyNumberFormat="0" applyFill="0" applyBorder="0" applyAlignment="0" applyProtection="0">
      <alignment vertical="top"/>
      <protection locked="0"/>
    </xf>
    <xf numFmtId="164" fontId="1" fillId="0" borderId="0" applyAlignment="0"/>
    <xf numFmtId="0" fontId="42" fillId="0" borderId="0" applyNumberFormat="0" applyFill="0" applyBorder="0" applyAlignment="0" applyProtection="0">
      <alignment vertical="top"/>
      <protection locked="0"/>
    </xf>
    <xf numFmtId="0" fontId="1" fillId="0" borderId="0"/>
    <xf numFmtId="0" fontId="1" fillId="0" borderId="0">
      <alignment vertical="center"/>
    </xf>
  </cellStyleXfs>
  <cellXfs count="1035">
    <xf numFmtId="0" fontId="0" fillId="0" borderId="0" xfId="0"/>
    <xf numFmtId="0" fontId="0" fillId="0" borderId="0" xfId="0" applyProtection="1">
      <protection hidden="1"/>
    </xf>
    <xf numFmtId="0" fontId="0" fillId="0" borderId="0" xfId="0" applyAlignment="1" applyProtection="1">
      <alignment vertical="center"/>
      <protection hidden="1"/>
    </xf>
    <xf numFmtId="0" fontId="0" fillId="0" borderId="0" xfId="0" applyFill="1" applyAlignment="1" applyProtection="1">
      <alignment vertical="center"/>
      <protection hidden="1"/>
    </xf>
    <xf numFmtId="0" fontId="0" fillId="0" borderId="0" xfId="0" applyFill="1" applyProtection="1">
      <protection hidden="1"/>
    </xf>
    <xf numFmtId="0" fontId="4" fillId="0" borderId="1" xfId="0" applyFont="1" applyBorder="1" applyAlignment="1" applyProtection="1">
      <alignment vertical="center"/>
      <protection hidden="1"/>
    </xf>
    <xf numFmtId="0" fontId="0" fillId="0" borderId="1" xfId="0" applyBorder="1" applyProtection="1">
      <protection hidden="1"/>
    </xf>
    <xf numFmtId="0" fontId="0" fillId="0" borderId="24" xfId="0" applyBorder="1" applyAlignment="1" applyProtection="1">
      <alignment vertical="center"/>
      <protection hidden="1"/>
    </xf>
    <xf numFmtId="0" fontId="0" fillId="0" borderId="24" xfId="0" applyBorder="1" applyProtection="1">
      <protection hidden="1"/>
    </xf>
    <xf numFmtId="0" fontId="5" fillId="0" borderId="24" xfId="0" applyFont="1" applyBorder="1" applyAlignment="1" applyProtection="1">
      <alignment horizontal="right" vertical="center"/>
      <protection hidden="1"/>
    </xf>
    <xf numFmtId="0" fontId="5" fillId="0" borderId="1" xfId="0" applyFont="1" applyBorder="1" applyAlignment="1" applyProtection="1">
      <alignment horizontal="right" vertical="center"/>
      <protection hidden="1"/>
    </xf>
    <xf numFmtId="0" fontId="4" fillId="0" borderId="0" xfId="0" applyFont="1" applyBorder="1" applyAlignment="1" applyProtection="1">
      <alignment vertical="center"/>
      <protection hidden="1"/>
    </xf>
    <xf numFmtId="0" fontId="0" fillId="0" borderId="0" xfId="0" applyBorder="1" applyProtection="1">
      <protection hidden="1"/>
    </xf>
    <xf numFmtId="0" fontId="0" fillId="0" borderId="2" xfId="0" applyBorder="1" applyAlignment="1" applyProtection="1">
      <alignment vertical="center"/>
      <protection hidden="1"/>
    </xf>
    <xf numFmtId="0" fontId="9" fillId="0" borderId="0" xfId="0" applyFont="1" applyBorder="1" applyAlignment="1" applyProtection="1">
      <alignment vertical="center"/>
      <protection hidden="1"/>
    </xf>
    <xf numFmtId="0" fontId="0" fillId="0" borderId="0" xfId="0" applyBorder="1" applyAlignment="1" applyProtection="1">
      <alignment vertical="center"/>
      <protection hidden="1"/>
    </xf>
    <xf numFmtId="37" fontId="13" fillId="0" borderId="0" xfId="0" applyNumberFormat="1" applyFont="1" applyBorder="1" applyAlignment="1" applyProtection="1">
      <alignment vertical="center"/>
      <protection hidden="1"/>
    </xf>
    <xf numFmtId="164" fontId="4" fillId="0" borderId="0" xfId="0" applyNumberFormat="1" applyFont="1" applyAlignment="1" applyProtection="1">
      <alignment vertical="center"/>
      <protection hidden="1"/>
    </xf>
    <xf numFmtId="164" fontId="0" fillId="0" borderId="0" xfId="0" applyNumberFormat="1" applyAlignment="1" applyProtection="1">
      <alignment vertical="center"/>
      <protection hidden="1"/>
    </xf>
    <xf numFmtId="164" fontId="6" fillId="0" borderId="4" xfId="0" applyNumberFormat="1" applyFont="1" applyBorder="1" applyAlignment="1" applyProtection="1">
      <alignment horizontal="left" vertical="center"/>
      <protection hidden="1"/>
    </xf>
    <xf numFmtId="0" fontId="2" fillId="0" borderId="0" xfId="0" applyFont="1" applyBorder="1" applyAlignment="1" applyProtection="1">
      <alignment horizontal="right" vertical="center"/>
      <protection hidden="1"/>
    </xf>
    <xf numFmtId="164" fontId="1" fillId="0" borderId="4" xfId="0" applyNumberFormat="1" applyFont="1" applyBorder="1" applyAlignment="1" applyProtection="1">
      <alignment vertical="center"/>
      <protection hidden="1"/>
    </xf>
    <xf numFmtId="164" fontId="8" fillId="0" borderId="3" xfId="0" applyNumberFormat="1" applyFont="1" applyBorder="1" applyAlignment="1" applyProtection="1">
      <alignment vertical="center"/>
      <protection hidden="1"/>
    </xf>
    <xf numFmtId="0" fontId="16" fillId="0" borderId="0" xfId="0" applyFont="1" applyBorder="1" applyAlignment="1" applyProtection="1">
      <alignment vertical="center"/>
      <protection hidden="1"/>
    </xf>
    <xf numFmtId="0" fontId="12" fillId="0" borderId="24" xfId="0" applyFont="1" applyBorder="1" applyAlignment="1" applyProtection="1">
      <alignment vertical="center"/>
      <protection hidden="1"/>
    </xf>
    <xf numFmtId="164" fontId="6" fillId="0" borderId="4" xfId="0" applyNumberFormat="1" applyFont="1" applyBorder="1" applyAlignment="1" applyProtection="1">
      <alignment vertical="center"/>
      <protection hidden="1"/>
    </xf>
    <xf numFmtId="0" fontId="6" fillId="0" borderId="30" xfId="0" applyFont="1" applyFill="1" applyBorder="1" applyAlignment="1" applyProtection="1">
      <alignment horizontal="center" vertical="center"/>
      <protection hidden="1"/>
    </xf>
    <xf numFmtId="0" fontId="6" fillId="0" borderId="31" xfId="0" applyFont="1" applyFill="1" applyBorder="1" applyAlignment="1" applyProtection="1">
      <alignment horizontal="center" vertical="center"/>
      <protection hidden="1"/>
    </xf>
    <xf numFmtId="0" fontId="7" fillId="0" borderId="29" xfId="0" applyFont="1" applyFill="1" applyBorder="1" applyAlignment="1" applyProtection="1">
      <alignment horizontal="center" vertical="center"/>
      <protection hidden="1"/>
    </xf>
    <xf numFmtId="0" fontId="7" fillId="0" borderId="31" xfId="0" applyFont="1" applyFill="1" applyBorder="1" applyAlignment="1" applyProtection="1">
      <alignment horizontal="center" vertical="center"/>
      <protection hidden="1"/>
    </xf>
    <xf numFmtId="0" fontId="14" fillId="0" borderId="0" xfId="0" applyFont="1" applyAlignment="1" applyProtection="1">
      <alignment horizontal="left" vertical="center" indent="1"/>
      <protection hidden="1"/>
    </xf>
    <xf numFmtId="0" fontId="0" fillId="0" borderId="35" xfId="0" applyFill="1" applyBorder="1" applyAlignment="1" applyProtection="1">
      <alignment vertical="center"/>
      <protection hidden="1"/>
    </xf>
    <xf numFmtId="164" fontId="8" fillId="0" borderId="0" xfId="0" applyNumberFormat="1" applyFont="1" applyAlignment="1" applyProtection="1">
      <alignment vertical="center"/>
      <protection hidden="1"/>
    </xf>
    <xf numFmtId="0" fontId="8" fillId="0" borderId="21" xfId="0" applyFont="1" applyFill="1" applyBorder="1" applyAlignment="1" applyProtection="1">
      <alignment vertical="center"/>
      <protection hidden="1"/>
    </xf>
    <xf numFmtId="0" fontId="8" fillId="0" borderId="22" xfId="0" applyFont="1" applyFill="1" applyBorder="1" applyAlignment="1" applyProtection="1">
      <alignment vertical="center"/>
      <protection hidden="1"/>
    </xf>
    <xf numFmtId="0" fontId="8" fillId="0" borderId="23" xfId="0" applyFont="1" applyFill="1" applyBorder="1" applyAlignment="1" applyProtection="1">
      <alignment vertical="center"/>
      <protection hidden="1"/>
    </xf>
    <xf numFmtId="37" fontId="0" fillId="0" borderId="21" xfId="0" applyNumberFormat="1" applyFill="1" applyBorder="1" applyAlignment="1" applyProtection="1">
      <alignment horizontal="center" vertical="center"/>
      <protection hidden="1"/>
    </xf>
    <xf numFmtId="0" fontId="0" fillId="0" borderId="23" xfId="0" applyFill="1" applyBorder="1" applyAlignment="1" applyProtection="1">
      <alignment horizontal="center" vertical="center"/>
      <protection hidden="1"/>
    </xf>
    <xf numFmtId="0" fontId="0" fillId="0" borderId="25" xfId="0" applyFill="1" applyBorder="1" applyAlignment="1" applyProtection="1">
      <alignment vertical="center"/>
      <protection hidden="1"/>
    </xf>
    <xf numFmtId="0" fontId="0" fillId="0" borderId="0" xfId="0" applyFill="1" applyBorder="1" applyAlignment="1" applyProtection="1">
      <alignment vertical="center"/>
      <protection hidden="1"/>
    </xf>
    <xf numFmtId="0" fontId="10" fillId="0" borderId="0" xfId="0" applyFont="1" applyFill="1" applyBorder="1" applyAlignment="1" applyProtection="1">
      <alignment horizontal="right" vertical="center"/>
      <protection hidden="1"/>
    </xf>
    <xf numFmtId="0" fontId="0" fillId="0" borderId="26" xfId="0" applyFill="1" applyBorder="1" applyAlignment="1" applyProtection="1">
      <alignment vertical="center"/>
      <protection hidden="1"/>
    </xf>
    <xf numFmtId="0" fontId="0" fillId="0" borderId="24" xfId="0" applyFill="1" applyBorder="1" applyAlignment="1" applyProtection="1">
      <alignment vertical="center"/>
      <protection hidden="1"/>
    </xf>
    <xf numFmtId="0" fontId="12" fillId="0" borderId="0" xfId="0" applyFont="1" applyBorder="1" applyAlignment="1" applyProtection="1">
      <alignment horizontal="right" vertical="center"/>
      <protection hidden="1"/>
    </xf>
    <xf numFmtId="164" fontId="6" fillId="0" borderId="6" xfId="0" applyNumberFormat="1" applyFont="1" applyBorder="1" applyAlignment="1" applyProtection="1">
      <alignment vertical="center"/>
      <protection hidden="1"/>
    </xf>
    <xf numFmtId="164" fontId="6" fillId="0" borderId="7" xfId="0" applyNumberFormat="1" applyFont="1" applyBorder="1" applyAlignment="1" applyProtection="1">
      <alignment vertical="center"/>
      <protection hidden="1"/>
    </xf>
    <xf numFmtId="0" fontId="14" fillId="0" borderId="0" xfId="0" applyFont="1" applyBorder="1" applyAlignment="1" applyProtection="1">
      <alignment vertical="top" wrapText="1"/>
      <protection hidden="1"/>
    </xf>
    <xf numFmtId="164" fontId="0" fillId="0" borderId="2" xfId="0" applyNumberFormat="1" applyBorder="1" applyAlignment="1" applyProtection="1">
      <alignment vertical="center"/>
      <protection hidden="1"/>
    </xf>
    <xf numFmtId="164" fontId="0" fillId="0" borderId="4" xfId="0" applyNumberFormat="1" applyBorder="1" applyAlignment="1" applyProtection="1">
      <alignment vertical="center"/>
      <protection hidden="1"/>
    </xf>
    <xf numFmtId="164" fontId="8" fillId="0" borderId="0" xfId="0" applyNumberFormat="1" applyFont="1" applyBorder="1" applyAlignment="1" applyProtection="1">
      <alignment vertical="center"/>
      <protection hidden="1"/>
    </xf>
    <xf numFmtId="164" fontId="8" fillId="0" borderId="3" xfId="0" applyNumberFormat="1" applyFont="1" applyFill="1" applyBorder="1" applyAlignment="1" applyProtection="1">
      <alignment vertical="center"/>
      <protection hidden="1"/>
    </xf>
    <xf numFmtId="164" fontId="6" fillId="0" borderId="0" xfId="0" applyNumberFormat="1" applyFont="1" applyBorder="1" applyAlignment="1" applyProtection="1">
      <alignment vertical="center"/>
      <protection hidden="1"/>
    </xf>
    <xf numFmtId="37" fontId="0" fillId="0" borderId="0" xfId="0" applyNumberFormat="1" applyAlignment="1" applyProtection="1">
      <alignment vertical="center"/>
      <protection hidden="1"/>
    </xf>
    <xf numFmtId="0" fontId="14" fillId="0" borderId="0" xfId="0" applyFont="1" applyBorder="1" applyAlignment="1" applyProtection="1">
      <alignment horizontal="center" vertical="center"/>
      <protection hidden="1"/>
    </xf>
    <xf numFmtId="164" fontId="0" fillId="0" borderId="4" xfId="0" applyNumberFormat="1" applyBorder="1" applyProtection="1">
      <protection hidden="1"/>
    </xf>
    <xf numFmtId="0" fontId="11" fillId="0" borderId="2" xfId="0" applyFont="1" applyBorder="1" applyAlignment="1" applyProtection="1">
      <alignment horizontal="left" vertical="center"/>
      <protection hidden="1"/>
    </xf>
    <xf numFmtId="0" fontId="12" fillId="0" borderId="2" xfId="0" applyFont="1" applyBorder="1" applyAlignment="1" applyProtection="1">
      <alignment horizontal="centerContinuous" vertical="center"/>
      <protection hidden="1"/>
    </xf>
    <xf numFmtId="49" fontId="11" fillId="0" borderId="2" xfId="0" applyNumberFormat="1" applyFont="1" applyBorder="1" applyAlignment="1" applyProtection="1">
      <alignment horizontal="right" vertical="center"/>
      <protection hidden="1"/>
    </xf>
    <xf numFmtId="0" fontId="11" fillId="0" borderId="0" xfId="0" applyFont="1" applyAlignment="1" applyProtection="1">
      <alignment horizontal="left" vertical="center"/>
      <protection hidden="1"/>
    </xf>
    <xf numFmtId="164" fontId="0" fillId="0" borderId="3" xfId="0" applyNumberFormat="1" applyBorder="1" applyAlignment="1" applyProtection="1">
      <alignment vertical="center"/>
      <protection hidden="1"/>
    </xf>
    <xf numFmtId="164" fontId="14" fillId="0" borderId="0" xfId="0" applyNumberFormat="1" applyFont="1" applyAlignment="1" applyProtection="1">
      <alignment vertical="center"/>
      <protection hidden="1"/>
    </xf>
    <xf numFmtId="164" fontId="1" fillId="0" borderId="11" xfId="0" applyNumberFormat="1" applyFont="1" applyBorder="1" applyAlignment="1" applyProtection="1">
      <alignment vertical="center"/>
      <protection hidden="1"/>
    </xf>
    <xf numFmtId="37" fontId="6" fillId="0" borderId="11" xfId="0" quotePrefix="1" applyNumberFormat="1" applyFont="1" applyBorder="1" applyAlignment="1" applyProtection="1">
      <alignment horizontal="right" vertical="center"/>
      <protection hidden="1"/>
    </xf>
    <xf numFmtId="37" fontId="6" fillId="0" borderId="12" xfId="0" quotePrefix="1" applyNumberFormat="1" applyFont="1" applyBorder="1" applyAlignment="1" applyProtection="1">
      <alignment horizontal="right" vertical="center"/>
      <protection hidden="1"/>
    </xf>
    <xf numFmtId="164" fontId="7" fillId="0" borderId="4" xfId="0" applyNumberFormat="1" applyFont="1" applyBorder="1" applyAlignment="1" applyProtection="1">
      <alignment vertical="center"/>
      <protection hidden="1"/>
    </xf>
    <xf numFmtId="164" fontId="11" fillId="0" borderId="3" xfId="0" applyNumberFormat="1" applyFont="1" applyBorder="1" applyAlignment="1" applyProtection="1">
      <alignment vertical="center"/>
      <protection hidden="1"/>
    </xf>
    <xf numFmtId="164" fontId="0" fillId="0" borderId="6" xfId="0" applyNumberFormat="1" applyBorder="1" applyAlignment="1" applyProtection="1">
      <alignment vertical="center"/>
      <protection hidden="1"/>
    </xf>
    <xf numFmtId="164" fontId="8" fillId="0" borderId="1" xfId="0" applyNumberFormat="1" applyFont="1" applyBorder="1" applyAlignment="1" applyProtection="1">
      <alignment vertical="center"/>
      <protection hidden="1"/>
    </xf>
    <xf numFmtId="164" fontId="14" fillId="0" borderId="4" xfId="0" applyNumberFormat="1" applyFont="1" applyBorder="1" applyAlignment="1" applyProtection="1">
      <alignment horizontal="center" vertical="center"/>
      <protection hidden="1"/>
    </xf>
    <xf numFmtId="164" fontId="0" fillId="0" borderId="0" xfId="0" applyNumberFormat="1" applyBorder="1" applyAlignment="1" applyProtection="1">
      <alignment vertical="center"/>
      <protection hidden="1"/>
    </xf>
    <xf numFmtId="164" fontId="14" fillId="0" borderId="0" xfId="0" applyNumberFormat="1" applyFont="1" applyBorder="1" applyAlignment="1" applyProtection="1">
      <alignment horizontal="center" vertical="center"/>
      <protection hidden="1"/>
    </xf>
    <xf numFmtId="164" fontId="14" fillId="0" borderId="6" xfId="0" applyNumberFormat="1" applyFont="1" applyBorder="1" applyAlignment="1" applyProtection="1">
      <alignment horizontal="center" vertical="center"/>
      <protection hidden="1"/>
    </xf>
    <xf numFmtId="164" fontId="0" fillId="0" borderId="1" xfId="0" applyNumberFormat="1" applyBorder="1" applyAlignment="1" applyProtection="1">
      <alignment vertical="center"/>
      <protection hidden="1"/>
    </xf>
    <xf numFmtId="37" fontId="8" fillId="0" borderId="3" xfId="0" applyNumberFormat="1" applyFont="1" applyBorder="1" applyAlignment="1" applyProtection="1">
      <alignment vertical="center"/>
      <protection hidden="1"/>
    </xf>
    <xf numFmtId="37" fontId="8" fillId="0" borderId="5" xfId="0" applyNumberFormat="1" applyFont="1" applyBorder="1" applyAlignment="1" applyProtection="1">
      <alignment vertical="center"/>
      <protection hidden="1"/>
    </xf>
    <xf numFmtId="37" fontId="6" fillId="0" borderId="11" xfId="0" applyNumberFormat="1" applyFont="1" applyBorder="1" applyAlignment="1" applyProtection="1">
      <alignment vertical="center"/>
      <protection hidden="1"/>
    </xf>
    <xf numFmtId="37" fontId="6" fillId="0" borderId="0" xfId="0" applyNumberFormat="1" applyFont="1" applyBorder="1" applyAlignment="1" applyProtection="1">
      <alignment vertical="center"/>
      <protection hidden="1"/>
    </xf>
    <xf numFmtId="37" fontId="8" fillId="0" borderId="6" xfId="0" applyNumberFormat="1" applyFont="1" applyBorder="1" applyAlignment="1" applyProtection="1">
      <alignment vertical="center"/>
      <protection hidden="1"/>
    </xf>
    <xf numFmtId="3" fontId="7" fillId="0" borderId="8" xfId="0" applyNumberFormat="1" applyFont="1" applyBorder="1" applyAlignment="1" applyProtection="1">
      <alignment vertical="center"/>
      <protection hidden="1"/>
    </xf>
    <xf numFmtId="37" fontId="8" fillId="0" borderId="1" xfId="0" applyNumberFormat="1" applyFont="1" applyBorder="1" applyAlignment="1" applyProtection="1">
      <alignment vertical="center"/>
      <protection hidden="1"/>
    </xf>
    <xf numFmtId="37" fontId="8" fillId="0" borderId="0" xfId="0" applyNumberFormat="1" applyFont="1" applyBorder="1" applyAlignment="1" applyProtection="1">
      <alignment vertical="center"/>
      <protection hidden="1"/>
    </xf>
    <xf numFmtId="37" fontId="3" fillId="7" borderId="33" xfId="0" applyNumberFormat="1" applyFont="1" applyFill="1" applyBorder="1" applyAlignment="1" applyProtection="1">
      <alignment horizontal="center" vertical="center"/>
      <protection hidden="1"/>
    </xf>
    <xf numFmtId="0" fontId="3" fillId="7" borderId="35" xfId="0" applyFont="1" applyFill="1" applyBorder="1" applyAlignment="1" applyProtection="1">
      <alignment horizontal="center" vertical="center"/>
      <protection hidden="1"/>
    </xf>
    <xf numFmtId="0" fontId="6" fillId="0" borderId="29" xfId="0" applyFont="1" applyFill="1" applyBorder="1" applyAlignment="1" applyProtection="1">
      <alignment horizontal="left" vertical="center"/>
      <protection hidden="1"/>
    </xf>
    <xf numFmtId="164" fontId="1" fillId="0" borderId="4" xfId="0" applyNumberFormat="1" applyFont="1" applyBorder="1" applyAlignment="1" applyProtection="1">
      <alignment horizontal="right" vertical="center"/>
      <protection hidden="1"/>
    </xf>
    <xf numFmtId="164" fontId="6" fillId="0" borderId="4" xfId="0" applyNumberFormat="1" applyFont="1" applyBorder="1" applyAlignment="1" applyProtection="1">
      <alignment horizontal="right" vertical="center"/>
      <protection hidden="1"/>
    </xf>
    <xf numFmtId="0" fontId="0" fillId="0" borderId="25" xfId="0" applyBorder="1" applyAlignment="1" applyProtection="1">
      <alignment vertical="center"/>
      <protection hidden="1"/>
    </xf>
    <xf numFmtId="164" fontId="19" fillId="0" borderId="3" xfId="0" applyNumberFormat="1" applyFont="1" applyBorder="1" applyAlignment="1" applyProtection="1">
      <alignment horizontal="center" vertical="center"/>
      <protection hidden="1"/>
    </xf>
    <xf numFmtId="164" fontId="19" fillId="0" borderId="11" xfId="0" applyNumberFormat="1" applyFont="1" applyBorder="1" applyAlignment="1" applyProtection="1">
      <alignment horizontal="center" vertical="center"/>
      <protection hidden="1"/>
    </xf>
    <xf numFmtId="0" fontId="1" fillId="0" borderId="0" xfId="0" applyFont="1" applyFill="1" applyBorder="1" applyAlignment="1" applyProtection="1">
      <alignment horizontal="right" vertical="center"/>
      <protection hidden="1"/>
    </xf>
    <xf numFmtId="37" fontId="0" fillId="0" borderId="0" xfId="0" applyNumberFormat="1" applyProtection="1">
      <protection hidden="1"/>
    </xf>
    <xf numFmtId="37" fontId="0" fillId="0" borderId="0" xfId="0" applyNumberFormat="1" applyBorder="1" applyAlignment="1" applyProtection="1">
      <alignment vertical="center"/>
      <protection hidden="1"/>
    </xf>
    <xf numFmtId="0" fontId="1" fillId="0" borderId="0" xfId="0" applyFont="1" applyProtection="1">
      <protection hidden="1"/>
    </xf>
    <xf numFmtId="38" fontId="7" fillId="0" borderId="8" xfId="0" applyNumberFormat="1" applyFont="1" applyBorder="1" applyAlignment="1" applyProtection="1">
      <alignment vertical="center"/>
      <protection hidden="1"/>
    </xf>
    <xf numFmtId="38" fontId="7" fillId="0" borderId="0" xfId="0" applyNumberFormat="1" applyFont="1" applyAlignment="1" applyProtection="1">
      <alignment horizontal="center" vertical="center"/>
      <protection hidden="1"/>
    </xf>
    <xf numFmtId="164" fontId="6" fillId="3" borderId="57" xfId="0" applyNumberFormat="1" applyFont="1" applyFill="1" applyBorder="1" applyAlignment="1" applyProtection="1">
      <alignment horizontal="center" vertical="center"/>
      <protection hidden="1"/>
    </xf>
    <xf numFmtId="164" fontId="0" fillId="3" borderId="15" xfId="0" applyNumberFormat="1" applyFill="1" applyBorder="1" applyAlignment="1" applyProtection="1">
      <alignment horizontal="center" vertical="center"/>
      <protection hidden="1"/>
    </xf>
    <xf numFmtId="164" fontId="7" fillId="3" borderId="16" xfId="0" applyNumberFormat="1" applyFont="1" applyFill="1" applyBorder="1" applyAlignment="1" applyProtection="1">
      <alignment horizontal="center" vertical="center"/>
      <protection hidden="1"/>
    </xf>
    <xf numFmtId="164" fontId="6" fillId="3" borderId="61" xfId="0" applyNumberFormat="1" applyFont="1" applyFill="1" applyBorder="1" applyAlignment="1" applyProtection="1">
      <alignment horizontal="center" vertical="center"/>
      <protection hidden="1"/>
    </xf>
    <xf numFmtId="164" fontId="6" fillId="3" borderId="62" xfId="0" applyNumberFormat="1" applyFont="1" applyFill="1" applyBorder="1" applyAlignment="1" applyProtection="1">
      <alignment horizontal="center" vertical="center"/>
      <protection hidden="1"/>
    </xf>
    <xf numFmtId="164" fontId="6" fillId="3" borderId="63" xfId="0" applyNumberFormat="1" applyFont="1" applyFill="1" applyBorder="1" applyAlignment="1" applyProtection="1">
      <alignment horizontal="center" vertical="center"/>
      <protection hidden="1"/>
    </xf>
    <xf numFmtId="164" fontId="0" fillId="0" borderId="64" xfId="0" applyNumberFormat="1" applyBorder="1" applyAlignment="1" applyProtection="1">
      <alignment vertical="center"/>
      <protection hidden="1"/>
    </xf>
    <xf numFmtId="164" fontId="1" fillId="10" borderId="10" xfId="0" applyNumberFormat="1" applyFont="1" applyFill="1" applyBorder="1" applyAlignment="1" applyProtection="1">
      <alignment vertical="center"/>
      <protection hidden="1"/>
    </xf>
    <xf numFmtId="3" fontId="1" fillId="0" borderId="0" xfId="0" applyNumberFormat="1" applyFont="1" applyBorder="1" applyAlignment="1" applyProtection="1">
      <alignment vertical="center"/>
      <protection hidden="1"/>
    </xf>
    <xf numFmtId="37" fontId="8" fillId="10" borderId="3" xfId="0" applyNumberFormat="1" applyFont="1" applyFill="1" applyBorder="1" applyAlignment="1" applyProtection="1">
      <alignment vertical="center"/>
      <protection hidden="1"/>
    </xf>
    <xf numFmtId="164" fontId="1" fillId="0" borderId="64" xfId="0" applyNumberFormat="1" applyFont="1" applyBorder="1" applyAlignment="1" applyProtection="1">
      <alignment vertical="center"/>
      <protection hidden="1"/>
    </xf>
    <xf numFmtId="37" fontId="8" fillId="10" borderId="10" xfId="0" applyNumberFormat="1" applyFont="1" applyFill="1" applyBorder="1" applyAlignment="1" applyProtection="1">
      <alignment vertical="center"/>
      <protection hidden="1"/>
    </xf>
    <xf numFmtId="3" fontId="8" fillId="0" borderId="0" xfId="0" applyNumberFormat="1" applyFont="1" applyBorder="1" applyAlignment="1" applyProtection="1">
      <alignment vertical="center"/>
      <protection hidden="1"/>
    </xf>
    <xf numFmtId="164" fontId="11" fillId="0" borderId="64" xfId="0" applyNumberFormat="1" applyFont="1" applyBorder="1" applyAlignment="1" applyProtection="1">
      <alignment vertical="center"/>
      <protection hidden="1"/>
    </xf>
    <xf numFmtId="164" fontId="22" fillId="0" borderId="3" xfId="0" applyNumberFormat="1" applyFont="1" applyBorder="1" applyAlignment="1" applyProtection="1">
      <alignment vertical="center"/>
      <protection hidden="1"/>
    </xf>
    <xf numFmtId="3" fontId="8" fillId="0" borderId="0" xfId="0" applyNumberFormat="1" applyFont="1" applyFill="1" applyBorder="1" applyAlignment="1" applyProtection="1">
      <alignment vertical="center"/>
      <protection hidden="1"/>
    </xf>
    <xf numFmtId="3" fontId="8" fillId="0" borderId="75" xfId="0" applyNumberFormat="1" applyFont="1" applyFill="1" applyBorder="1" applyAlignment="1" applyProtection="1">
      <alignment vertical="center"/>
      <protection hidden="1"/>
    </xf>
    <xf numFmtId="37" fontId="8" fillId="10" borderId="5" xfId="0" applyNumberFormat="1" applyFont="1" applyFill="1" applyBorder="1" applyAlignment="1" applyProtection="1">
      <alignment vertical="center"/>
      <protection hidden="1"/>
    </xf>
    <xf numFmtId="164" fontId="6" fillId="0" borderId="65" xfId="0" applyNumberFormat="1" applyFont="1" applyBorder="1" applyAlignment="1" applyProtection="1">
      <alignment vertical="center"/>
      <protection hidden="1"/>
    </xf>
    <xf numFmtId="164" fontId="6" fillId="0" borderId="66" xfId="0" applyNumberFormat="1" applyFont="1" applyBorder="1" applyAlignment="1" applyProtection="1">
      <alignment vertical="center"/>
      <protection hidden="1"/>
    </xf>
    <xf numFmtId="37" fontId="8" fillId="0" borderId="67" xfId="0" applyNumberFormat="1" applyFont="1" applyBorder="1" applyAlignment="1" applyProtection="1">
      <alignment vertical="center"/>
      <protection hidden="1"/>
    </xf>
    <xf numFmtId="37" fontId="6" fillId="9" borderId="66" xfId="0" applyNumberFormat="1" applyFont="1" applyFill="1" applyBorder="1" applyAlignment="1" applyProtection="1">
      <alignment vertical="center"/>
      <protection hidden="1"/>
    </xf>
    <xf numFmtId="164" fontId="0" fillId="0" borderId="0" xfId="0" applyNumberFormat="1" applyProtection="1">
      <protection hidden="1"/>
    </xf>
    <xf numFmtId="164" fontId="21" fillId="0" borderId="19" xfId="0" applyNumberFormat="1" applyFont="1" applyBorder="1" applyAlignment="1" applyProtection="1">
      <alignment vertical="center"/>
      <protection hidden="1"/>
    </xf>
    <xf numFmtId="164" fontId="26" fillId="0" borderId="20" xfId="0" applyNumberFormat="1" applyFont="1" applyBorder="1" applyAlignment="1" applyProtection="1">
      <alignment vertical="center"/>
      <protection hidden="1"/>
    </xf>
    <xf numFmtId="164" fontId="21" fillId="0" borderId="17" xfId="0" applyNumberFormat="1" applyFont="1" applyBorder="1" applyAlignment="1" applyProtection="1">
      <alignment vertical="center"/>
      <protection hidden="1"/>
    </xf>
    <xf numFmtId="164" fontId="21" fillId="0" borderId="18" xfId="0" applyNumberFormat="1" applyFont="1" applyBorder="1" applyAlignment="1" applyProtection="1">
      <alignment vertical="center"/>
      <protection hidden="1"/>
    </xf>
    <xf numFmtId="37" fontId="8" fillId="0" borderId="0" xfId="0" applyNumberFormat="1" applyFont="1" applyAlignment="1" applyProtection="1">
      <alignment vertical="center"/>
      <protection hidden="1"/>
    </xf>
    <xf numFmtId="164" fontId="21" fillId="0" borderId="4" xfId="0" applyNumberFormat="1" applyFont="1" applyBorder="1" applyAlignment="1" applyProtection="1">
      <alignment horizontal="center" vertical="center"/>
      <protection hidden="1"/>
    </xf>
    <xf numFmtId="164" fontId="26" fillId="0" borderId="2" xfId="0" applyNumberFormat="1" applyFont="1" applyBorder="1" applyAlignment="1" applyProtection="1">
      <alignment vertical="center"/>
      <protection hidden="1"/>
    </xf>
    <xf numFmtId="164" fontId="21" fillId="0" borderId="2" xfId="0" applyNumberFormat="1" applyFont="1" applyBorder="1" applyAlignment="1" applyProtection="1">
      <alignment vertical="center"/>
      <protection hidden="1"/>
    </xf>
    <xf numFmtId="164" fontId="21" fillId="0" borderId="15" xfId="0" applyNumberFormat="1" applyFont="1" applyBorder="1" applyAlignment="1" applyProtection="1">
      <alignment vertical="center"/>
      <protection hidden="1"/>
    </xf>
    <xf numFmtId="164" fontId="26" fillId="0" borderId="0" xfId="0" applyNumberFormat="1" applyFont="1" applyBorder="1" applyAlignment="1" applyProtection="1">
      <alignment vertical="center"/>
      <protection hidden="1"/>
    </xf>
    <xf numFmtId="164" fontId="21" fillId="0" borderId="0" xfId="0" applyNumberFormat="1" applyFont="1" applyBorder="1" applyAlignment="1" applyProtection="1">
      <alignment vertical="center"/>
      <protection hidden="1"/>
    </xf>
    <xf numFmtId="164" fontId="21" fillId="0" borderId="3" xfId="0" applyNumberFormat="1" applyFont="1" applyBorder="1" applyAlignment="1" applyProtection="1">
      <alignment vertical="center"/>
      <protection hidden="1"/>
    </xf>
    <xf numFmtId="164" fontId="21" fillId="0" borderId="6" xfId="0" applyNumberFormat="1" applyFont="1" applyBorder="1" applyAlignment="1" applyProtection="1">
      <alignment horizontal="center" vertical="center"/>
      <protection hidden="1"/>
    </xf>
    <xf numFmtId="164" fontId="26" fillId="0" borderId="1" xfId="0" applyNumberFormat="1" applyFont="1" applyBorder="1" applyAlignment="1" applyProtection="1">
      <alignment vertical="center"/>
      <protection hidden="1"/>
    </xf>
    <xf numFmtId="164" fontId="21" fillId="0" borderId="1" xfId="0" applyNumberFormat="1" applyFont="1" applyBorder="1" applyAlignment="1" applyProtection="1">
      <alignment vertical="center"/>
      <protection hidden="1"/>
    </xf>
    <xf numFmtId="164" fontId="21" fillId="0" borderId="7" xfId="0" applyNumberFormat="1" applyFont="1" applyBorder="1" applyAlignment="1" applyProtection="1">
      <alignment vertical="center"/>
      <protection hidden="1"/>
    </xf>
    <xf numFmtId="164" fontId="15" fillId="4" borderId="6" xfId="0" applyNumberFormat="1" applyFont="1" applyFill="1" applyBorder="1" applyAlignment="1" applyProtection="1">
      <alignment horizontal="left" vertical="center"/>
      <protection hidden="1"/>
    </xf>
    <xf numFmtId="164" fontId="15" fillId="4" borderId="84" xfId="0" applyNumberFormat="1" applyFont="1" applyFill="1" applyBorder="1" applyAlignment="1" applyProtection="1">
      <alignment horizontal="center" vertical="center"/>
      <protection hidden="1"/>
    </xf>
    <xf numFmtId="164" fontId="15" fillId="4" borderId="85" xfId="0" applyNumberFormat="1" applyFont="1" applyFill="1" applyBorder="1" applyAlignment="1" applyProtection="1">
      <alignment horizontal="center" vertical="center"/>
      <protection hidden="1"/>
    </xf>
    <xf numFmtId="164" fontId="14" fillId="0" borderId="71" xfId="0" applyNumberFormat="1" applyFont="1" applyBorder="1" applyAlignment="1" applyProtection="1">
      <alignment horizontal="left" vertical="center"/>
      <protection hidden="1"/>
    </xf>
    <xf numFmtId="3" fontId="14" fillId="5" borderId="72" xfId="0" applyNumberFormat="1" applyFont="1" applyFill="1" applyBorder="1" applyAlignment="1" applyProtection="1">
      <alignment horizontal="center" vertical="center"/>
      <protection hidden="1"/>
    </xf>
    <xf numFmtId="3" fontId="15" fillId="0" borderId="50" xfId="0" applyNumberFormat="1" applyFont="1" applyBorder="1" applyAlignment="1" applyProtection="1">
      <alignment horizontal="center" vertical="center"/>
      <protection hidden="1"/>
    </xf>
    <xf numFmtId="164" fontId="14" fillId="0" borderId="49" xfId="0" applyNumberFormat="1" applyFont="1" applyBorder="1" applyAlignment="1" applyProtection="1">
      <alignment horizontal="left" vertical="center"/>
      <protection hidden="1"/>
    </xf>
    <xf numFmtId="3" fontId="14" fillId="5" borderId="54" xfId="0" applyNumberFormat="1" applyFont="1" applyFill="1" applyBorder="1" applyAlignment="1" applyProtection="1">
      <alignment horizontal="center" vertical="center"/>
      <protection hidden="1"/>
    </xf>
    <xf numFmtId="164" fontId="14" fillId="0" borderId="77" xfId="0" applyNumberFormat="1" applyFont="1" applyBorder="1" applyAlignment="1" applyProtection="1">
      <alignment horizontal="left" vertical="center"/>
      <protection hidden="1"/>
    </xf>
    <xf numFmtId="3" fontId="14" fillId="5" borderId="69" xfId="0" applyNumberFormat="1" applyFont="1" applyFill="1" applyBorder="1" applyAlignment="1" applyProtection="1">
      <alignment horizontal="center" vertical="center"/>
      <protection hidden="1"/>
    </xf>
    <xf numFmtId="3" fontId="15" fillId="0" borderId="51" xfId="0" applyNumberFormat="1" applyFont="1" applyBorder="1" applyAlignment="1" applyProtection="1">
      <alignment horizontal="center" vertical="center"/>
      <protection hidden="1"/>
    </xf>
    <xf numFmtId="164" fontId="28" fillId="0" borderId="3" xfId="0" applyNumberFormat="1" applyFont="1" applyBorder="1" applyAlignment="1" applyProtection="1">
      <alignment vertical="center"/>
      <protection hidden="1"/>
    </xf>
    <xf numFmtId="37" fontId="8" fillId="10" borderId="86" xfId="0" applyNumberFormat="1" applyFont="1" applyFill="1" applyBorder="1" applyAlignment="1" applyProtection="1">
      <alignment vertical="center"/>
      <protection hidden="1"/>
    </xf>
    <xf numFmtId="37" fontId="8" fillId="0" borderId="75" xfId="0" applyNumberFormat="1" applyFont="1" applyBorder="1" applyAlignment="1" applyProtection="1">
      <alignment vertical="center"/>
      <protection hidden="1"/>
    </xf>
    <xf numFmtId="37" fontId="6" fillId="0" borderId="67" xfId="0" applyNumberFormat="1" applyFont="1" applyBorder="1" applyAlignment="1" applyProtection="1">
      <alignment vertical="center"/>
      <protection hidden="1"/>
    </xf>
    <xf numFmtId="164" fontId="15" fillId="0" borderId="19" xfId="0" applyNumberFormat="1" applyFont="1" applyBorder="1" applyAlignment="1" applyProtection="1">
      <alignment vertical="center"/>
      <protection hidden="1"/>
    </xf>
    <xf numFmtId="164" fontId="19" fillId="0" borderId="20" xfId="0" applyNumberFormat="1" applyFont="1" applyBorder="1" applyAlignment="1" applyProtection="1">
      <alignment vertical="center"/>
      <protection hidden="1"/>
    </xf>
    <xf numFmtId="164" fontId="14" fillId="0" borderId="17" xfId="0" applyNumberFormat="1" applyFont="1" applyBorder="1" applyAlignment="1" applyProtection="1">
      <alignment vertical="center"/>
      <protection hidden="1"/>
    </xf>
    <xf numFmtId="164" fontId="14" fillId="0" borderId="18" xfId="0" applyNumberFormat="1" applyFont="1" applyBorder="1" applyAlignment="1" applyProtection="1">
      <alignment vertical="center"/>
      <protection hidden="1"/>
    </xf>
    <xf numFmtId="164" fontId="17" fillId="0" borderId="2" xfId="0" applyNumberFormat="1" applyFont="1" applyBorder="1" applyAlignment="1" applyProtection="1">
      <alignment vertical="center"/>
      <protection hidden="1"/>
    </xf>
    <xf numFmtId="164" fontId="14" fillId="0" borderId="2" xfId="0" applyNumberFormat="1" applyFont="1" applyBorder="1" applyAlignment="1" applyProtection="1">
      <alignment vertical="center"/>
      <protection hidden="1"/>
    </xf>
    <xf numFmtId="164" fontId="14" fillId="0" borderId="15" xfId="0" applyNumberFormat="1" applyFont="1" applyBorder="1" applyAlignment="1" applyProtection="1">
      <alignment vertical="center"/>
      <protection hidden="1"/>
    </xf>
    <xf numFmtId="164" fontId="17" fillId="0" borderId="0" xfId="0" applyNumberFormat="1" applyFont="1" applyBorder="1" applyAlignment="1" applyProtection="1">
      <alignment vertical="center"/>
      <protection hidden="1"/>
    </xf>
    <xf numFmtId="164" fontId="14" fillId="0" borderId="0" xfId="0" applyNumberFormat="1" applyFont="1" applyBorder="1" applyAlignment="1" applyProtection="1">
      <alignment vertical="center"/>
      <protection hidden="1"/>
    </xf>
    <xf numFmtId="164" fontId="14" fillId="0" borderId="3" xfId="0" applyNumberFormat="1" applyFont="1" applyBorder="1" applyAlignment="1" applyProtection="1">
      <alignment vertical="center"/>
      <protection hidden="1"/>
    </xf>
    <xf numFmtId="37" fontId="17" fillId="0" borderId="0" xfId="0" applyNumberFormat="1" applyFont="1" applyBorder="1" applyAlignment="1" applyProtection="1">
      <alignment vertical="center"/>
      <protection hidden="1"/>
    </xf>
    <xf numFmtId="37" fontId="17" fillId="0" borderId="3" xfId="0" applyNumberFormat="1" applyFont="1" applyBorder="1" applyAlignment="1" applyProtection="1">
      <alignment vertical="center"/>
      <protection hidden="1"/>
    </xf>
    <xf numFmtId="164" fontId="0" fillId="0" borderId="0" xfId="0" applyNumberFormat="1" applyBorder="1" applyProtection="1">
      <protection hidden="1"/>
    </xf>
    <xf numFmtId="164" fontId="0" fillId="0" borderId="3" xfId="0" applyNumberFormat="1" applyBorder="1" applyProtection="1">
      <protection hidden="1"/>
    </xf>
    <xf numFmtId="164" fontId="0" fillId="0" borderId="6" xfId="0" applyNumberFormat="1" applyBorder="1" applyProtection="1">
      <protection hidden="1"/>
    </xf>
    <xf numFmtId="164" fontId="17" fillId="0" borderId="1" xfId="0" applyNumberFormat="1" applyFont="1" applyBorder="1" applyAlignment="1" applyProtection="1">
      <alignment vertical="center"/>
      <protection hidden="1"/>
    </xf>
    <xf numFmtId="164" fontId="0" fillId="0" borderId="1" xfId="0" applyNumberFormat="1" applyBorder="1" applyProtection="1">
      <protection hidden="1"/>
    </xf>
    <xf numFmtId="164" fontId="0" fillId="0" borderId="7" xfId="0" applyNumberFormat="1" applyBorder="1" applyProtection="1">
      <protection hidden="1"/>
    </xf>
    <xf numFmtId="37" fontId="8" fillId="10" borderId="0" xfId="0" applyNumberFormat="1" applyFont="1" applyFill="1" applyBorder="1" applyAlignment="1" applyProtection="1">
      <alignment vertical="center"/>
      <protection hidden="1"/>
    </xf>
    <xf numFmtId="37" fontId="17" fillId="0" borderId="0" xfId="0" applyNumberFormat="1" applyFont="1" applyAlignment="1" applyProtection="1">
      <alignment vertical="center"/>
      <protection hidden="1"/>
    </xf>
    <xf numFmtId="37" fontId="8" fillId="10" borderId="75" xfId="0" applyNumberFormat="1" applyFont="1" applyFill="1" applyBorder="1" applyAlignment="1" applyProtection="1">
      <alignment vertical="center"/>
      <protection hidden="1"/>
    </xf>
    <xf numFmtId="164" fontId="14" fillId="0" borderId="1" xfId="0" applyNumberFormat="1" applyFont="1" applyBorder="1" applyAlignment="1" applyProtection="1">
      <alignment vertical="center"/>
      <protection hidden="1"/>
    </xf>
    <xf numFmtId="164" fontId="14" fillId="0" borderId="7" xfId="0" applyNumberFormat="1" applyFont="1" applyBorder="1" applyAlignment="1" applyProtection="1">
      <alignment vertical="center"/>
      <protection hidden="1"/>
    </xf>
    <xf numFmtId="164" fontId="0" fillId="0" borderId="0" xfId="0" applyNumberFormat="1" applyFill="1" applyBorder="1" applyAlignment="1" applyProtection="1">
      <alignment horizontal="center" vertical="center"/>
      <protection hidden="1"/>
    </xf>
    <xf numFmtId="164" fontId="15" fillId="4" borderId="19" xfId="0" applyNumberFormat="1" applyFont="1" applyFill="1" applyBorder="1" applyAlignment="1" applyProtection="1">
      <alignment horizontal="left" vertical="center"/>
      <protection hidden="1"/>
    </xf>
    <xf numFmtId="164" fontId="15" fillId="4" borderId="44" xfId="0" applyNumberFormat="1" applyFont="1" applyFill="1" applyBorder="1" applyAlignment="1" applyProtection="1">
      <alignment horizontal="center" vertical="center"/>
      <protection hidden="1"/>
    </xf>
    <xf numFmtId="164" fontId="15" fillId="0" borderId="0" xfId="0" applyNumberFormat="1" applyFont="1" applyFill="1" applyBorder="1" applyAlignment="1" applyProtection="1">
      <alignment horizontal="center" vertical="center"/>
      <protection hidden="1"/>
    </xf>
    <xf numFmtId="164" fontId="15" fillId="0" borderId="4" xfId="0" applyNumberFormat="1" applyFont="1" applyBorder="1" applyAlignment="1" applyProtection="1">
      <alignment horizontal="left" vertical="center"/>
      <protection hidden="1"/>
    </xf>
    <xf numFmtId="164" fontId="14" fillId="0" borderId="48" xfId="0" applyNumberFormat="1" applyFont="1" applyBorder="1" applyAlignment="1" applyProtection="1">
      <alignment horizontal="center" vertical="center"/>
      <protection hidden="1"/>
    </xf>
    <xf numFmtId="164" fontId="14" fillId="0" borderId="0" xfId="0" applyNumberFormat="1" applyFont="1" applyFill="1" applyBorder="1" applyAlignment="1" applyProtection="1">
      <alignment horizontal="center" vertical="center"/>
      <protection hidden="1"/>
    </xf>
    <xf numFmtId="164" fontId="15" fillId="0" borderId="49" xfId="0" applyNumberFormat="1" applyFont="1" applyBorder="1" applyAlignment="1" applyProtection="1">
      <alignment horizontal="left" vertical="center"/>
      <protection hidden="1"/>
    </xf>
    <xf numFmtId="164" fontId="14" fillId="0" borderId="50" xfId="0" applyNumberFormat="1" applyFont="1" applyBorder="1" applyAlignment="1" applyProtection="1">
      <alignment horizontal="center" vertical="center"/>
      <protection hidden="1"/>
    </xf>
    <xf numFmtId="164" fontId="14" fillId="0" borderId="52" xfId="0" applyNumberFormat="1" applyFont="1" applyBorder="1" applyAlignment="1" applyProtection="1">
      <alignment horizontal="center" vertical="center"/>
      <protection hidden="1"/>
    </xf>
    <xf numFmtId="164" fontId="6" fillId="3" borderId="14" xfId="0" applyNumberFormat="1" applyFont="1" applyFill="1" applyBorder="1" applyAlignment="1" applyProtection="1">
      <alignment horizontal="center" vertical="center"/>
      <protection hidden="1"/>
    </xf>
    <xf numFmtId="164" fontId="6" fillId="3" borderId="87" xfId="0" applyNumberFormat="1" applyFont="1" applyFill="1" applyBorder="1" applyAlignment="1" applyProtection="1">
      <alignment horizontal="center" vertical="center"/>
      <protection hidden="1"/>
    </xf>
    <xf numFmtId="37" fontId="6" fillId="0" borderId="1" xfId="0" applyNumberFormat="1" applyFont="1" applyBorder="1" applyAlignment="1" applyProtection="1">
      <alignment vertical="center"/>
      <protection hidden="1"/>
    </xf>
    <xf numFmtId="37" fontId="6" fillId="9" borderId="7" xfId="0" applyNumberFormat="1" applyFont="1" applyFill="1" applyBorder="1" applyAlignment="1" applyProtection="1">
      <alignment vertical="center"/>
      <protection hidden="1"/>
    </xf>
    <xf numFmtId="164" fontId="14" fillId="4" borderId="19" xfId="0" applyNumberFormat="1" applyFont="1" applyFill="1" applyBorder="1" applyAlignment="1" applyProtection="1">
      <alignment horizontal="left" vertical="center"/>
      <protection hidden="1"/>
    </xf>
    <xf numFmtId="37" fontId="8" fillId="10" borderId="83" xfId="0" applyNumberFormat="1" applyFont="1" applyFill="1" applyBorder="1" applyAlignment="1" applyProtection="1">
      <alignment vertical="center"/>
      <protection hidden="1"/>
    </xf>
    <xf numFmtId="37" fontId="8" fillId="10" borderId="0" xfId="0" quotePrefix="1" applyNumberFormat="1" applyFont="1" applyFill="1" applyBorder="1" applyAlignment="1" applyProtection="1">
      <alignment vertical="center"/>
      <protection hidden="1"/>
    </xf>
    <xf numFmtId="164" fontId="0" fillId="10" borderId="10" xfId="0" applyNumberFormat="1" applyFill="1" applyBorder="1" applyAlignment="1" applyProtection="1">
      <alignment vertical="center"/>
      <protection hidden="1"/>
    </xf>
    <xf numFmtId="164" fontId="0" fillId="10" borderId="3" xfId="0" applyNumberFormat="1" applyFill="1" applyBorder="1" applyAlignment="1" applyProtection="1">
      <alignment vertical="center"/>
      <protection hidden="1"/>
    </xf>
    <xf numFmtId="164" fontId="8" fillId="10" borderId="10" xfId="0" applyNumberFormat="1" applyFont="1" applyFill="1" applyBorder="1" applyAlignment="1" applyProtection="1">
      <alignment vertical="center"/>
      <protection hidden="1"/>
    </xf>
    <xf numFmtId="164" fontId="6" fillId="0" borderId="67" xfId="0" applyNumberFormat="1" applyFont="1" applyBorder="1" applyAlignment="1" applyProtection="1">
      <alignment vertical="center"/>
      <protection hidden="1"/>
    </xf>
    <xf numFmtId="164" fontId="17" fillId="0" borderId="0" xfId="0" applyNumberFormat="1" applyFont="1" applyAlignment="1" applyProtection="1">
      <alignment vertical="center"/>
      <protection hidden="1"/>
    </xf>
    <xf numFmtId="164" fontId="15" fillId="4" borderId="43" xfId="0" applyNumberFormat="1" applyFont="1" applyFill="1" applyBorder="1" applyAlignment="1" applyProtection="1">
      <alignment horizontal="center" vertical="center"/>
      <protection hidden="1"/>
    </xf>
    <xf numFmtId="164" fontId="14" fillId="5" borderId="72" xfId="0" applyNumberFormat="1" applyFont="1" applyFill="1" applyBorder="1" applyAlignment="1" applyProtection="1">
      <alignment horizontal="center" vertical="center"/>
      <protection hidden="1"/>
    </xf>
    <xf numFmtId="164" fontId="14" fillId="5" borderId="74" xfId="0" applyNumberFormat="1" applyFont="1" applyFill="1" applyBorder="1" applyAlignment="1" applyProtection="1">
      <alignment horizontal="center" vertical="center"/>
      <protection hidden="1"/>
    </xf>
    <xf numFmtId="164" fontId="14" fillId="5" borderId="54" xfId="0" applyNumberFormat="1" applyFont="1" applyFill="1" applyBorder="1" applyAlignment="1" applyProtection="1">
      <alignment horizontal="center" vertical="center"/>
      <protection hidden="1"/>
    </xf>
    <xf numFmtId="164" fontId="14" fillId="5" borderId="50" xfId="0" applyNumberFormat="1" applyFont="1" applyFill="1" applyBorder="1" applyAlignment="1" applyProtection="1">
      <alignment horizontal="center" vertical="center"/>
      <protection hidden="1"/>
    </xf>
    <xf numFmtId="164" fontId="14" fillId="5" borderId="69" xfId="0" applyNumberFormat="1" applyFont="1" applyFill="1" applyBorder="1" applyAlignment="1" applyProtection="1">
      <alignment horizontal="center" vertical="center"/>
      <protection hidden="1"/>
    </xf>
    <xf numFmtId="164" fontId="14" fillId="5" borderId="51" xfId="0" applyNumberFormat="1" applyFont="1" applyFill="1" applyBorder="1" applyAlignment="1" applyProtection="1">
      <alignment horizontal="center" vertical="center"/>
      <protection hidden="1"/>
    </xf>
    <xf numFmtId="164" fontId="15" fillId="4" borderId="70" xfId="0" applyNumberFormat="1" applyFont="1" applyFill="1" applyBorder="1" applyAlignment="1" applyProtection="1">
      <alignment horizontal="left" vertical="center"/>
      <protection hidden="1"/>
    </xf>
    <xf numFmtId="164" fontId="14" fillId="0" borderId="76" xfId="0" applyNumberFormat="1" applyFont="1" applyBorder="1" applyAlignment="1" applyProtection="1">
      <alignment horizontal="left" vertical="center"/>
      <protection hidden="1"/>
    </xf>
    <xf numFmtId="3" fontId="14" fillId="5" borderId="46" xfId="0" applyNumberFormat="1" applyFont="1" applyFill="1" applyBorder="1" applyAlignment="1" applyProtection="1">
      <alignment horizontal="center" vertical="center"/>
      <protection hidden="1"/>
    </xf>
    <xf numFmtId="164" fontId="14" fillId="5" borderId="46" xfId="0" applyNumberFormat="1" applyFont="1" applyFill="1" applyBorder="1" applyAlignment="1" applyProtection="1">
      <alignment horizontal="center" vertical="center"/>
      <protection hidden="1"/>
    </xf>
    <xf numFmtId="164" fontId="15" fillId="4" borderId="20" xfId="0" applyNumberFormat="1" applyFont="1" applyFill="1" applyBorder="1" applyAlignment="1" applyProtection="1">
      <alignment horizontal="center" vertical="center"/>
      <protection hidden="1"/>
    </xf>
    <xf numFmtId="164" fontId="14" fillId="0" borderId="47" xfId="0" applyNumberFormat="1" applyFont="1" applyBorder="1" applyAlignment="1" applyProtection="1">
      <alignment horizontal="center" vertical="center"/>
      <protection hidden="1"/>
    </xf>
    <xf numFmtId="164" fontId="14" fillId="0" borderId="74" xfId="0" applyNumberFormat="1" applyFont="1" applyBorder="1" applyAlignment="1" applyProtection="1">
      <alignment horizontal="center" vertical="center"/>
      <protection hidden="1"/>
    </xf>
    <xf numFmtId="164" fontId="14" fillId="0" borderId="55" xfId="0" applyNumberFormat="1" applyFont="1" applyBorder="1" applyAlignment="1" applyProtection="1">
      <alignment horizontal="center" vertical="center"/>
      <protection hidden="1"/>
    </xf>
    <xf numFmtId="164" fontId="14" fillId="0" borderId="56" xfId="0" applyNumberFormat="1" applyFont="1" applyBorder="1" applyAlignment="1" applyProtection="1">
      <alignment horizontal="center" vertical="center"/>
      <protection hidden="1"/>
    </xf>
    <xf numFmtId="164" fontId="1" fillId="0" borderId="64" xfId="0" applyNumberFormat="1" applyFont="1" applyBorder="1" applyProtection="1">
      <protection hidden="1"/>
    </xf>
    <xf numFmtId="164" fontId="8" fillId="2" borderId="83" xfId="0" applyNumberFormat="1" applyFont="1" applyFill="1" applyBorder="1" applyAlignment="1" applyProtection="1">
      <alignment horizontal="right"/>
      <protection hidden="1"/>
    </xf>
    <xf numFmtId="37" fontId="8" fillId="0" borderId="0" xfId="0" applyNumberFormat="1" applyFont="1" applyBorder="1" applyAlignment="1" applyProtection="1">
      <alignment horizontal="right"/>
      <protection hidden="1"/>
    </xf>
    <xf numFmtId="37" fontId="8" fillId="0" borderId="3" xfId="0" applyNumberFormat="1" applyFont="1" applyBorder="1" applyAlignment="1" applyProtection="1">
      <alignment horizontal="right"/>
      <protection hidden="1"/>
    </xf>
    <xf numFmtId="164" fontId="14" fillId="0" borderId="0" xfId="0" applyNumberFormat="1" applyFont="1" applyProtection="1">
      <protection hidden="1"/>
    </xf>
    <xf numFmtId="164" fontId="0" fillId="0" borderId="64" xfId="0" applyNumberFormat="1" applyBorder="1" applyProtection="1">
      <protection hidden="1"/>
    </xf>
    <xf numFmtId="37" fontId="8" fillId="0" borderId="9" xfId="0" applyNumberFormat="1" applyFont="1" applyFill="1" applyBorder="1" applyAlignment="1" applyProtection="1">
      <alignment vertical="center"/>
      <protection hidden="1"/>
    </xf>
    <xf numFmtId="37" fontId="8" fillId="0" borderId="4" xfId="0" applyNumberFormat="1" applyFont="1" applyFill="1" applyBorder="1" applyAlignment="1" applyProtection="1">
      <alignment vertical="center"/>
      <protection hidden="1"/>
    </xf>
    <xf numFmtId="37" fontId="18" fillId="0" borderId="0" xfId="0" applyNumberFormat="1" applyFont="1" applyAlignment="1" applyProtection="1">
      <alignment vertical="center"/>
      <protection hidden="1"/>
    </xf>
    <xf numFmtId="164" fontId="6" fillId="0" borderId="65" xfId="0" applyNumberFormat="1" applyFont="1" applyBorder="1" applyProtection="1">
      <protection hidden="1"/>
    </xf>
    <xf numFmtId="164" fontId="14" fillId="0" borderId="45" xfId="0" applyNumberFormat="1" applyFont="1" applyBorder="1" applyAlignment="1" applyProtection="1">
      <alignment horizontal="center" vertical="center"/>
      <protection hidden="1"/>
    </xf>
    <xf numFmtId="164" fontId="14" fillId="0" borderId="46" xfId="0" applyNumberFormat="1" applyFont="1" applyBorder="1" applyAlignment="1" applyProtection="1">
      <alignment horizontal="center" vertical="center"/>
      <protection hidden="1"/>
    </xf>
    <xf numFmtId="167" fontId="14" fillId="0" borderId="46" xfId="0" applyNumberFormat="1" applyFont="1" applyBorder="1" applyAlignment="1" applyProtection="1">
      <alignment horizontal="center" vertical="center"/>
      <protection hidden="1"/>
    </xf>
    <xf numFmtId="9" fontId="14" fillId="0" borderId="48" xfId="0" applyNumberFormat="1" applyFont="1" applyFill="1" applyBorder="1" applyAlignment="1" applyProtection="1">
      <alignment horizontal="center" vertical="center"/>
      <protection hidden="1"/>
    </xf>
    <xf numFmtId="9" fontId="14" fillId="0" borderId="50" xfId="0" applyNumberFormat="1" applyFont="1" applyFill="1" applyBorder="1" applyAlignment="1" applyProtection="1">
      <alignment horizontal="center" vertical="center"/>
      <protection hidden="1"/>
    </xf>
    <xf numFmtId="164" fontId="14" fillId="0" borderId="51" xfId="0" applyNumberFormat="1" applyFont="1" applyFill="1" applyBorder="1" applyAlignment="1" applyProtection="1">
      <alignment horizontal="center" vertical="center"/>
      <protection hidden="1"/>
    </xf>
    <xf numFmtId="3" fontId="15" fillId="0" borderId="74" xfId="0" applyNumberFormat="1" applyFont="1" applyBorder="1" applyAlignment="1" applyProtection="1">
      <alignment horizontal="center" vertical="center"/>
      <protection hidden="1"/>
    </xf>
    <xf numFmtId="164" fontId="15" fillId="4" borderId="72" xfId="0" applyNumberFormat="1" applyFont="1" applyFill="1" applyBorder="1" applyAlignment="1" applyProtection="1">
      <alignment horizontal="center" vertical="center"/>
      <protection hidden="1"/>
    </xf>
    <xf numFmtId="164" fontId="15" fillId="4" borderId="74" xfId="0" applyNumberFormat="1" applyFont="1" applyFill="1" applyBorder="1" applyAlignment="1" applyProtection="1">
      <alignment horizontal="center" vertical="center"/>
      <protection hidden="1"/>
    </xf>
    <xf numFmtId="37" fontId="8" fillId="0" borderId="0" xfId="0" applyNumberFormat="1" applyFont="1" applyBorder="1" applyAlignment="1" applyProtection="1">
      <alignment horizontal="right" vertical="center"/>
      <protection hidden="1"/>
    </xf>
    <xf numFmtId="37" fontId="8" fillId="0" borderId="0" xfId="0" applyNumberFormat="1" applyFont="1" applyFill="1" applyBorder="1" applyAlignment="1" applyProtection="1">
      <alignment vertical="center"/>
      <protection hidden="1"/>
    </xf>
    <xf numFmtId="37" fontId="8" fillId="0" borderId="3" xfId="0" applyNumberFormat="1" applyFont="1" applyFill="1" applyBorder="1" applyAlignment="1" applyProtection="1">
      <alignment vertical="center"/>
      <protection hidden="1"/>
    </xf>
    <xf numFmtId="164" fontId="1" fillId="0" borderId="3" xfId="0" applyNumberFormat="1" applyFont="1" applyFill="1" applyBorder="1" applyAlignment="1" applyProtection="1">
      <alignment vertical="center"/>
      <protection hidden="1"/>
    </xf>
    <xf numFmtId="37" fontId="8" fillId="0" borderId="0" xfId="0" quotePrefix="1" applyNumberFormat="1" applyFont="1" applyBorder="1" applyAlignment="1" applyProtection="1">
      <alignment horizontal="right" vertical="center"/>
      <protection hidden="1"/>
    </xf>
    <xf numFmtId="37" fontId="8" fillId="0" borderId="0" xfId="0" quotePrefix="1" applyNumberFormat="1" applyFont="1" applyBorder="1" applyAlignment="1" applyProtection="1">
      <alignment vertical="center"/>
      <protection hidden="1"/>
    </xf>
    <xf numFmtId="37" fontId="8" fillId="0" borderId="0" xfId="0" quotePrefix="1" applyNumberFormat="1" applyFont="1" applyFill="1" applyBorder="1" applyAlignment="1" applyProtection="1">
      <alignment vertical="center"/>
      <protection hidden="1"/>
    </xf>
    <xf numFmtId="37" fontId="8" fillId="0" borderId="75" xfId="0" quotePrefix="1" applyNumberFormat="1" applyFont="1" applyFill="1" applyBorder="1" applyAlignment="1" applyProtection="1">
      <alignment vertical="center"/>
      <protection hidden="1"/>
    </xf>
    <xf numFmtId="37" fontId="25" fillId="0" borderId="0" xfId="0" applyNumberFormat="1" applyFont="1" applyAlignment="1" applyProtection="1">
      <alignment vertical="center"/>
      <protection hidden="1"/>
    </xf>
    <xf numFmtId="164" fontId="0" fillId="0" borderId="17" xfId="0" applyNumberFormat="1" applyFill="1" applyBorder="1" applyProtection="1">
      <protection hidden="1"/>
    </xf>
    <xf numFmtId="164" fontId="0" fillId="0" borderId="18" xfId="0" applyNumberFormat="1" applyFill="1" applyBorder="1" applyProtection="1">
      <protection hidden="1"/>
    </xf>
    <xf numFmtId="164" fontId="14" fillId="0" borderId="53" xfId="0" applyNumberFormat="1" applyFont="1" applyBorder="1" applyAlignment="1" applyProtection="1">
      <alignment horizontal="center" vertical="center"/>
      <protection hidden="1"/>
    </xf>
    <xf numFmtId="167" fontId="14" fillId="0" borderId="48" xfId="0" applyNumberFormat="1" applyFont="1" applyBorder="1" applyAlignment="1" applyProtection="1">
      <alignment horizontal="center" vertical="center"/>
      <protection hidden="1"/>
    </xf>
    <xf numFmtId="164" fontId="14" fillId="0" borderId="54" xfId="0" applyNumberFormat="1" applyFont="1" applyBorder="1" applyAlignment="1" applyProtection="1">
      <alignment horizontal="center" vertical="center"/>
      <protection hidden="1"/>
    </xf>
    <xf numFmtId="164" fontId="15" fillId="0" borderId="71" xfId="0" applyNumberFormat="1" applyFont="1" applyBorder="1" applyAlignment="1" applyProtection="1">
      <alignment horizontal="left" vertical="center"/>
      <protection hidden="1"/>
    </xf>
    <xf numFmtId="3" fontId="14" fillId="8" borderId="72" xfId="0" applyNumberFormat="1" applyFont="1" applyFill="1" applyBorder="1" applyAlignment="1" applyProtection="1">
      <alignment horizontal="center" vertical="center"/>
      <protection hidden="1"/>
    </xf>
    <xf numFmtId="3" fontId="14" fillId="0" borderId="72" xfId="0" applyNumberFormat="1" applyFont="1" applyBorder="1" applyAlignment="1" applyProtection="1">
      <alignment horizontal="center" vertical="center"/>
      <protection hidden="1"/>
    </xf>
    <xf numFmtId="3" fontId="14" fillId="8" borderId="54" xfId="0" applyNumberFormat="1" applyFont="1" applyFill="1" applyBorder="1" applyAlignment="1" applyProtection="1">
      <alignment horizontal="center" vertical="center"/>
      <protection hidden="1"/>
    </xf>
    <xf numFmtId="3" fontId="14" fillId="0" borderId="54" xfId="0" applyNumberFormat="1" applyFont="1" applyBorder="1" applyAlignment="1" applyProtection="1">
      <alignment horizontal="center" vertical="center"/>
      <protection hidden="1"/>
    </xf>
    <xf numFmtId="164" fontId="15" fillId="0" borderId="73" xfId="0" applyNumberFormat="1" applyFont="1" applyBorder="1" applyAlignment="1" applyProtection="1">
      <alignment horizontal="left" vertical="center"/>
      <protection hidden="1"/>
    </xf>
    <xf numFmtId="3" fontId="14" fillId="5" borderId="68" xfId="0" applyNumberFormat="1" applyFont="1" applyFill="1" applyBorder="1" applyAlignment="1" applyProtection="1">
      <alignment horizontal="center" vertical="center"/>
      <protection hidden="1"/>
    </xf>
    <xf numFmtId="3" fontId="14" fillId="8" borderId="68" xfId="0" applyNumberFormat="1" applyFont="1" applyFill="1" applyBorder="1" applyAlignment="1" applyProtection="1">
      <alignment horizontal="center" vertical="center"/>
      <protection hidden="1"/>
    </xf>
    <xf numFmtId="3" fontId="14" fillId="0" borderId="68" xfId="0" applyNumberFormat="1" applyFont="1" applyBorder="1" applyAlignment="1" applyProtection="1">
      <alignment horizontal="center" vertical="center"/>
      <protection hidden="1"/>
    </xf>
    <xf numFmtId="3" fontId="15" fillId="0" borderId="52" xfId="0" applyNumberFormat="1" applyFont="1" applyBorder="1" applyAlignment="1" applyProtection="1">
      <alignment horizontal="center" vertical="center"/>
      <protection hidden="1"/>
    </xf>
    <xf numFmtId="164" fontId="1" fillId="0" borderId="0" xfId="0" applyNumberFormat="1" applyFont="1" applyBorder="1" applyAlignment="1" applyProtection="1">
      <alignment horizontal="left" vertical="center"/>
      <protection hidden="1"/>
    </xf>
    <xf numFmtId="164" fontId="7" fillId="0" borderId="0" xfId="0" applyNumberFormat="1" applyFont="1" applyBorder="1" applyAlignment="1" applyProtection="1">
      <alignment horizontal="right" vertical="center"/>
      <protection hidden="1"/>
    </xf>
    <xf numFmtId="0" fontId="29" fillId="0" borderId="0" xfId="0" applyFont="1" applyAlignment="1" applyProtection="1">
      <alignment horizontal="right" vertical="center"/>
      <protection hidden="1"/>
    </xf>
    <xf numFmtId="164" fontId="8" fillId="0" borderId="4" xfId="0" applyNumberFormat="1" applyFont="1" applyBorder="1" applyAlignment="1" applyProtection="1">
      <alignment vertical="center"/>
      <protection hidden="1"/>
    </xf>
    <xf numFmtId="164" fontId="1" fillId="0" borderId="0" xfId="0" applyNumberFormat="1" applyFont="1" applyBorder="1" applyAlignment="1" applyProtection="1">
      <alignment vertical="center"/>
      <protection hidden="1"/>
    </xf>
    <xf numFmtId="0" fontId="6" fillId="0" borderId="0" xfId="0" applyFont="1" applyFill="1" applyBorder="1" applyAlignment="1" applyProtection="1">
      <alignment horizontal="right" vertical="center"/>
      <protection hidden="1"/>
    </xf>
    <xf numFmtId="0" fontId="6" fillId="0" borderId="24" xfId="0" applyFont="1" applyFill="1" applyBorder="1" applyAlignment="1" applyProtection="1">
      <alignment horizontal="right" vertical="center"/>
      <protection hidden="1"/>
    </xf>
    <xf numFmtId="0" fontId="0" fillId="8" borderId="0" xfId="0" applyFill="1" applyAlignment="1" applyProtection="1">
      <alignment vertical="center"/>
      <protection hidden="1"/>
    </xf>
    <xf numFmtId="0" fontId="0" fillId="0" borderId="11" xfId="0" applyBorder="1" applyAlignment="1" applyProtection="1">
      <alignment vertical="center"/>
      <protection hidden="1"/>
    </xf>
    <xf numFmtId="3" fontId="7" fillId="0" borderId="11" xfId="0" applyNumberFormat="1" applyFont="1" applyBorder="1" applyAlignment="1" applyProtection="1">
      <alignment vertical="center"/>
      <protection hidden="1"/>
    </xf>
    <xf numFmtId="164" fontId="8" fillId="0" borderId="4" xfId="0" applyNumberFormat="1" applyFont="1" applyFill="1" applyBorder="1" applyAlignment="1" applyProtection="1">
      <alignment vertical="center"/>
      <protection hidden="1"/>
    </xf>
    <xf numFmtId="164" fontId="0" fillId="0" borderId="0" xfId="0" applyNumberFormat="1" applyFill="1" applyBorder="1" applyAlignment="1" applyProtection="1">
      <alignment vertical="center"/>
      <protection hidden="1"/>
    </xf>
    <xf numFmtId="166" fontId="8" fillId="0" borderId="13" xfId="0" applyNumberFormat="1" applyFont="1" applyFill="1" applyBorder="1" applyAlignment="1" applyProtection="1">
      <alignment vertical="center"/>
      <protection hidden="1"/>
    </xf>
    <xf numFmtId="166" fontId="8" fillId="0" borderId="88" xfId="0" applyNumberFormat="1" applyFont="1" applyFill="1" applyBorder="1" applyAlignment="1" applyProtection="1">
      <alignment vertical="center"/>
      <protection hidden="1"/>
    </xf>
    <xf numFmtId="0" fontId="7" fillId="0" borderId="25" xfId="0" applyFont="1" applyBorder="1" applyAlignment="1" applyProtection="1">
      <alignment vertical="center"/>
      <protection hidden="1"/>
    </xf>
    <xf numFmtId="164" fontId="6" fillId="0" borderId="25" xfId="0" applyNumberFormat="1" applyFont="1" applyBorder="1" applyAlignment="1" applyProtection="1">
      <alignment vertical="center"/>
      <protection hidden="1"/>
    </xf>
    <xf numFmtId="0" fontId="15" fillId="0" borderId="0" xfId="0" applyFont="1" applyBorder="1" applyAlignment="1" applyProtection="1">
      <alignment horizontal="right" vertical="center"/>
      <protection hidden="1"/>
    </xf>
    <xf numFmtId="0" fontId="15" fillId="0" borderId="0" xfId="0" applyFont="1" applyFill="1" applyBorder="1" applyAlignment="1" applyProtection="1">
      <alignment horizontal="right" vertical="center"/>
      <protection hidden="1"/>
    </xf>
    <xf numFmtId="0" fontId="1" fillId="0" borderId="0" xfId="0" applyFont="1" applyFill="1" applyAlignment="1" applyProtection="1">
      <alignment vertical="top" wrapText="1"/>
      <protection hidden="1"/>
    </xf>
    <xf numFmtId="164" fontId="20" fillId="0" borderId="3" xfId="0" applyNumberFormat="1" applyFont="1" applyBorder="1" applyAlignment="1" applyProtection="1">
      <alignment horizontal="center" vertical="center"/>
      <protection hidden="1"/>
    </xf>
    <xf numFmtId="0" fontId="5" fillId="0" borderId="0" xfId="0" applyFont="1" applyBorder="1" applyAlignment="1" applyProtection="1">
      <alignment horizontal="right" vertical="center"/>
      <protection hidden="1"/>
    </xf>
    <xf numFmtId="164" fontId="23" fillId="0" borderId="0" xfId="0" applyNumberFormat="1" applyFont="1" applyFill="1" applyBorder="1" applyAlignment="1" applyProtection="1">
      <alignment vertical="center"/>
      <protection hidden="1"/>
    </xf>
    <xf numFmtId="0" fontId="0" fillId="0" borderId="0" xfId="0" applyFill="1" applyBorder="1" applyProtection="1">
      <protection hidden="1"/>
    </xf>
    <xf numFmtId="0" fontId="5" fillId="0" borderId="0" xfId="0" applyFont="1" applyFill="1" applyAlignment="1" applyProtection="1">
      <alignment horizontal="center" vertical="center"/>
      <protection hidden="1"/>
    </xf>
    <xf numFmtId="164" fontId="0" fillId="0" borderId="4" xfId="0" applyNumberFormat="1" applyFill="1" applyBorder="1" applyAlignment="1" applyProtection="1">
      <alignment vertical="center"/>
      <protection hidden="1"/>
    </xf>
    <xf numFmtId="0" fontId="14" fillId="0" borderId="0" xfId="0" applyFont="1" applyFill="1" applyAlignment="1" applyProtection="1">
      <alignment horizontal="left" vertical="center" indent="1"/>
      <protection hidden="1"/>
    </xf>
    <xf numFmtId="164" fontId="1" fillId="0" borderId="4" xfId="0" applyNumberFormat="1" applyFont="1" applyFill="1" applyBorder="1" applyAlignment="1" applyProtection="1">
      <alignment vertical="center"/>
      <protection hidden="1"/>
    </xf>
    <xf numFmtId="164" fontId="6" fillId="0" borderId="6" xfId="0" applyNumberFormat="1" applyFont="1" applyBorder="1" applyAlignment="1" applyProtection="1">
      <alignment horizontal="right" vertical="center"/>
      <protection hidden="1"/>
    </xf>
    <xf numFmtId="3" fontId="7" fillId="5" borderId="11" xfId="0" applyNumberFormat="1" applyFont="1" applyFill="1" applyBorder="1" applyAlignment="1" applyProtection="1">
      <alignment vertical="center"/>
      <protection locked="0" hidden="1"/>
    </xf>
    <xf numFmtId="3" fontId="7" fillId="5" borderId="0" xfId="0" applyNumberFormat="1" applyFont="1" applyFill="1" applyAlignment="1" applyProtection="1">
      <alignment vertical="center"/>
      <protection locked="0" hidden="1"/>
    </xf>
    <xf numFmtId="37" fontId="8" fillId="5" borderId="83" xfId="0" applyNumberFormat="1" applyFont="1" applyFill="1" applyBorder="1" applyAlignment="1" applyProtection="1">
      <alignment vertical="center"/>
      <protection locked="0" hidden="1"/>
    </xf>
    <xf numFmtId="37" fontId="8" fillId="10" borderId="58" xfId="0" applyNumberFormat="1" applyFont="1" applyFill="1" applyBorder="1" applyAlignment="1" applyProtection="1">
      <alignment vertical="center"/>
      <protection hidden="1"/>
    </xf>
    <xf numFmtId="37" fontId="8" fillId="10" borderId="60" xfId="0" applyNumberFormat="1" applyFont="1" applyFill="1" applyBorder="1" applyAlignment="1" applyProtection="1">
      <alignment vertical="center"/>
      <protection hidden="1"/>
    </xf>
    <xf numFmtId="3" fontId="1" fillId="0" borderId="75" xfId="0" applyNumberFormat="1" applyFont="1" applyBorder="1" applyAlignment="1" applyProtection="1">
      <alignment vertical="center"/>
      <protection hidden="1"/>
    </xf>
    <xf numFmtId="0" fontId="0" fillId="0" borderId="0" xfId="0" applyAlignment="1" applyProtection="1">
      <alignment horizontal="center"/>
      <protection hidden="1"/>
    </xf>
    <xf numFmtId="164" fontId="1" fillId="10" borderId="58" xfId="0" applyNumberFormat="1" applyFont="1" applyFill="1" applyBorder="1" applyAlignment="1" applyProtection="1">
      <alignment vertical="center"/>
      <protection hidden="1"/>
    </xf>
    <xf numFmtId="164" fontId="1" fillId="10" borderId="83" xfId="0" applyNumberFormat="1" applyFont="1" applyFill="1" applyBorder="1" applyAlignment="1" applyProtection="1">
      <alignment vertical="center"/>
      <protection hidden="1"/>
    </xf>
    <xf numFmtId="164" fontId="6" fillId="0" borderId="1" xfId="0" applyNumberFormat="1" applyFont="1" applyBorder="1" applyAlignment="1" applyProtection="1">
      <alignment vertical="center"/>
      <protection hidden="1"/>
    </xf>
    <xf numFmtId="37" fontId="8" fillId="10" borderId="90" xfId="0" applyNumberFormat="1" applyFont="1" applyFill="1" applyBorder="1" applyAlignment="1" applyProtection="1">
      <alignment vertical="center"/>
      <protection hidden="1"/>
    </xf>
    <xf numFmtId="164" fontId="0" fillId="10" borderId="90" xfId="0" applyNumberFormat="1" applyFill="1" applyBorder="1" applyAlignment="1" applyProtection="1">
      <alignment vertical="center"/>
      <protection hidden="1"/>
    </xf>
    <xf numFmtId="164" fontId="15" fillId="4" borderId="91" xfId="0" applyNumberFormat="1" applyFont="1" applyFill="1" applyBorder="1" applyAlignment="1" applyProtection="1">
      <alignment horizontal="center" vertical="center"/>
      <protection hidden="1"/>
    </xf>
    <xf numFmtId="164" fontId="14" fillId="5" borderId="45" xfId="0" applyNumberFormat="1" applyFont="1" applyFill="1" applyBorder="1" applyAlignment="1" applyProtection="1">
      <alignment horizontal="center" vertical="center"/>
      <protection hidden="1"/>
    </xf>
    <xf numFmtId="164" fontId="14" fillId="5" borderId="55" xfId="0" applyNumberFormat="1" applyFont="1" applyFill="1" applyBorder="1" applyAlignment="1" applyProtection="1">
      <alignment horizontal="center" vertical="center"/>
      <protection hidden="1"/>
    </xf>
    <xf numFmtId="164" fontId="14" fillId="5" borderId="92" xfId="0" applyNumberFormat="1" applyFont="1" applyFill="1" applyBorder="1" applyAlignment="1" applyProtection="1">
      <alignment horizontal="center" vertical="center"/>
      <protection hidden="1"/>
    </xf>
    <xf numFmtId="164" fontId="14" fillId="5" borderId="68" xfId="0" applyNumberFormat="1" applyFont="1" applyFill="1" applyBorder="1" applyAlignment="1" applyProtection="1">
      <alignment horizontal="center" vertical="center"/>
      <protection hidden="1"/>
    </xf>
    <xf numFmtId="164" fontId="14" fillId="5" borderId="52" xfId="0" applyNumberFormat="1" applyFont="1" applyFill="1" applyBorder="1" applyAlignment="1" applyProtection="1">
      <alignment horizontal="center" vertical="center"/>
      <protection hidden="1"/>
    </xf>
    <xf numFmtId="37" fontId="8" fillId="10" borderId="88" xfId="0" applyNumberFormat="1" applyFont="1" applyFill="1" applyBorder="1" applyAlignment="1" applyProtection="1">
      <alignment vertical="center"/>
      <protection hidden="1"/>
    </xf>
    <xf numFmtId="37" fontId="8" fillId="0" borderId="75" xfId="0" applyNumberFormat="1" applyFont="1" applyFill="1" applyBorder="1" applyAlignment="1" applyProtection="1">
      <alignment vertical="center"/>
      <protection hidden="1"/>
    </xf>
    <xf numFmtId="164" fontId="15" fillId="4" borderId="99" xfId="0" applyNumberFormat="1" applyFont="1" applyFill="1" applyBorder="1" applyAlignment="1" applyProtection="1">
      <alignment horizontal="left" vertical="center"/>
      <protection hidden="1"/>
    </xf>
    <xf numFmtId="164" fontId="14" fillId="0" borderId="100" xfId="0" applyNumberFormat="1" applyFont="1" applyBorder="1" applyAlignment="1" applyProtection="1">
      <alignment horizontal="left" vertical="center"/>
      <protection hidden="1"/>
    </xf>
    <xf numFmtId="164" fontId="14" fillId="0" borderId="101" xfId="0" applyNumberFormat="1" applyFont="1" applyBorder="1" applyAlignment="1" applyProtection="1">
      <alignment horizontal="left" vertical="center"/>
      <protection hidden="1"/>
    </xf>
    <xf numFmtId="164" fontId="14" fillId="0" borderId="102" xfId="0" applyNumberFormat="1" applyFont="1" applyBorder="1" applyAlignment="1" applyProtection="1">
      <alignment horizontal="left" vertical="center"/>
      <protection hidden="1"/>
    </xf>
    <xf numFmtId="3" fontId="14" fillId="5" borderId="45" xfId="0" applyNumberFormat="1" applyFont="1" applyFill="1" applyBorder="1" applyAlignment="1" applyProtection="1">
      <alignment horizontal="center" vertical="center"/>
      <protection hidden="1"/>
    </xf>
    <xf numFmtId="3" fontId="14" fillId="5" borderId="55" xfId="0" applyNumberFormat="1" applyFont="1" applyFill="1" applyBorder="1" applyAlignment="1" applyProtection="1">
      <alignment horizontal="center" vertical="center"/>
      <protection hidden="1"/>
    </xf>
    <xf numFmtId="3" fontId="14" fillId="5" borderId="92" xfId="0" applyNumberFormat="1" applyFont="1" applyFill="1" applyBorder="1" applyAlignment="1" applyProtection="1">
      <alignment horizontal="center" vertical="center"/>
      <protection hidden="1"/>
    </xf>
    <xf numFmtId="3" fontId="14" fillId="0" borderId="0" xfId="0" applyNumberFormat="1" applyFont="1" applyAlignment="1" applyProtection="1">
      <alignment horizontal="center" vertical="center"/>
      <protection hidden="1"/>
    </xf>
    <xf numFmtId="37" fontId="8" fillId="0" borderId="25" xfId="0" applyNumberFormat="1" applyFont="1" applyFill="1" applyBorder="1" applyAlignment="1" applyProtection="1">
      <alignment vertical="center"/>
      <protection hidden="1"/>
    </xf>
    <xf numFmtId="164" fontId="6" fillId="3" borderId="104" xfId="0" applyNumberFormat="1" applyFont="1" applyFill="1" applyBorder="1" applyAlignment="1" applyProtection="1">
      <alignment horizontal="center" vertical="center"/>
      <protection hidden="1"/>
    </xf>
    <xf numFmtId="164" fontId="7" fillId="3" borderId="105" xfId="0" applyNumberFormat="1" applyFont="1" applyFill="1" applyBorder="1" applyAlignment="1" applyProtection="1">
      <alignment horizontal="center" vertical="center"/>
      <protection hidden="1"/>
    </xf>
    <xf numFmtId="164" fontId="6" fillId="3" borderId="106" xfId="0" applyNumberFormat="1" applyFont="1" applyFill="1" applyBorder="1" applyAlignment="1" applyProtection="1">
      <alignment horizontal="center" vertical="center"/>
      <protection hidden="1"/>
    </xf>
    <xf numFmtId="164" fontId="6" fillId="3" borderId="107" xfId="0" applyNumberFormat="1" applyFont="1" applyFill="1" applyBorder="1" applyAlignment="1" applyProtection="1">
      <alignment horizontal="center" vertical="center"/>
      <protection hidden="1"/>
    </xf>
    <xf numFmtId="164" fontId="1" fillId="0" borderId="25" xfId="0" applyNumberFormat="1" applyFont="1" applyBorder="1" applyAlignment="1" applyProtection="1">
      <alignment vertical="center"/>
      <protection hidden="1"/>
    </xf>
    <xf numFmtId="37" fontId="8" fillId="10" borderId="108" xfId="0" applyNumberFormat="1" applyFont="1" applyFill="1" applyBorder="1" applyAlignment="1" applyProtection="1">
      <alignment vertical="center"/>
      <protection hidden="1"/>
    </xf>
    <xf numFmtId="37" fontId="8" fillId="10" borderId="109" xfId="0" applyNumberFormat="1" applyFont="1" applyFill="1" applyBorder="1" applyAlignment="1" applyProtection="1">
      <alignment vertical="center"/>
      <protection hidden="1"/>
    </xf>
    <xf numFmtId="164" fontId="0" fillId="0" borderId="25" xfId="0" applyNumberFormat="1" applyBorder="1" applyAlignment="1" applyProtection="1">
      <alignment vertical="center"/>
      <protection hidden="1"/>
    </xf>
    <xf numFmtId="37" fontId="8" fillId="0" borderId="108" xfId="0" applyNumberFormat="1" applyFont="1" applyBorder="1" applyAlignment="1" applyProtection="1">
      <alignment vertical="center"/>
      <protection hidden="1"/>
    </xf>
    <xf numFmtId="164" fontId="6" fillId="0" borderId="26" xfId="0" applyNumberFormat="1" applyFont="1" applyBorder="1" applyAlignment="1" applyProtection="1">
      <alignment vertical="center"/>
      <protection hidden="1"/>
    </xf>
    <xf numFmtId="164" fontId="6" fillId="0" borderId="110" xfId="0" applyNumberFormat="1" applyFont="1" applyBorder="1" applyAlignment="1" applyProtection="1">
      <alignment vertical="center"/>
      <protection hidden="1"/>
    </xf>
    <xf numFmtId="37" fontId="6" fillId="0" borderId="24" xfId="0" applyNumberFormat="1" applyFont="1" applyBorder="1" applyAlignment="1" applyProtection="1">
      <alignment vertical="center"/>
      <protection hidden="1"/>
    </xf>
    <xf numFmtId="37" fontId="6" fillId="9" borderId="42" xfId="0" applyNumberFormat="1" applyFont="1" applyFill="1" applyBorder="1" applyAlignment="1" applyProtection="1">
      <alignment vertical="center"/>
      <protection hidden="1"/>
    </xf>
    <xf numFmtId="37" fontId="8" fillId="0" borderId="4" xfId="0" applyNumberFormat="1" applyFont="1" applyBorder="1" applyAlignment="1" applyProtection="1">
      <alignment vertical="center"/>
      <protection hidden="1"/>
    </xf>
    <xf numFmtId="3" fontId="14" fillId="5" borderId="94" xfId="0" applyNumberFormat="1" applyFont="1" applyFill="1" applyBorder="1" applyAlignment="1" applyProtection="1">
      <alignment horizontal="center" vertical="center"/>
      <protection hidden="1"/>
    </xf>
    <xf numFmtId="164" fontId="14" fillId="0" borderId="112" xfId="0" applyNumberFormat="1" applyFont="1" applyBorder="1" applyAlignment="1" applyProtection="1">
      <alignment horizontal="left" vertical="center"/>
      <protection hidden="1"/>
    </xf>
    <xf numFmtId="3" fontId="14" fillId="5" borderId="47" xfId="0" applyNumberFormat="1" applyFont="1" applyFill="1" applyBorder="1" applyAlignment="1" applyProtection="1">
      <alignment horizontal="center" vertical="center"/>
      <protection hidden="1"/>
    </xf>
    <xf numFmtId="3" fontId="14" fillId="5" borderId="111" xfId="0" applyNumberFormat="1" applyFont="1" applyFill="1" applyBorder="1" applyAlignment="1" applyProtection="1">
      <alignment horizontal="center" vertical="center"/>
      <protection hidden="1"/>
    </xf>
    <xf numFmtId="164" fontId="15" fillId="4" borderId="95" xfId="0" applyNumberFormat="1" applyFont="1" applyFill="1" applyBorder="1" applyAlignment="1" applyProtection="1">
      <alignment horizontal="left" vertical="center"/>
      <protection hidden="1"/>
    </xf>
    <xf numFmtId="164" fontId="15" fillId="4" borderId="113" xfId="0" applyNumberFormat="1" applyFont="1" applyFill="1" applyBorder="1" applyAlignment="1" applyProtection="1">
      <alignment horizontal="center" vertical="center"/>
      <protection hidden="1"/>
    </xf>
    <xf numFmtId="164" fontId="15" fillId="4" borderId="114" xfId="0" applyNumberFormat="1" applyFont="1" applyFill="1" applyBorder="1" applyAlignment="1" applyProtection="1">
      <alignment horizontal="center" vertical="center"/>
      <protection hidden="1"/>
    </xf>
    <xf numFmtId="164" fontId="15" fillId="4" borderId="115" xfId="0" applyNumberFormat="1" applyFont="1" applyFill="1" applyBorder="1" applyAlignment="1" applyProtection="1">
      <alignment horizontal="center" vertical="center"/>
      <protection hidden="1"/>
    </xf>
    <xf numFmtId="164" fontId="15" fillId="4" borderId="116" xfId="0" applyNumberFormat="1" applyFont="1" applyFill="1" applyBorder="1" applyAlignment="1" applyProtection="1">
      <alignment horizontal="center" vertical="center"/>
      <protection hidden="1"/>
    </xf>
    <xf numFmtId="3" fontId="14" fillId="5" borderId="98" xfId="0" applyNumberFormat="1" applyFont="1" applyFill="1" applyBorder="1" applyAlignment="1" applyProtection="1">
      <alignment horizontal="center" vertical="center"/>
      <protection hidden="1"/>
    </xf>
    <xf numFmtId="3" fontId="15" fillId="0" borderId="117" xfId="0" applyNumberFormat="1" applyFont="1" applyBorder="1" applyAlignment="1" applyProtection="1">
      <alignment horizontal="center" vertical="center"/>
      <protection hidden="1"/>
    </xf>
    <xf numFmtId="3" fontId="15" fillId="0" borderId="118" xfId="0" applyNumberFormat="1" applyFont="1" applyBorder="1" applyAlignment="1" applyProtection="1">
      <alignment horizontal="center" vertical="center"/>
      <protection hidden="1"/>
    </xf>
    <xf numFmtId="3" fontId="15" fillId="0" borderId="119" xfId="0" applyNumberFormat="1" applyFont="1" applyBorder="1" applyAlignment="1" applyProtection="1">
      <alignment horizontal="center" vertical="center"/>
      <protection hidden="1"/>
    </xf>
    <xf numFmtId="164" fontId="0" fillId="3" borderId="2" xfId="0" applyNumberFormat="1" applyFill="1" applyBorder="1" applyAlignment="1" applyProtection="1">
      <alignment horizontal="center" vertical="center"/>
      <protection hidden="1"/>
    </xf>
    <xf numFmtId="164" fontId="7" fillId="3" borderId="120" xfId="0" applyNumberFormat="1" applyFont="1" applyFill="1" applyBorder="1" applyAlignment="1" applyProtection="1">
      <alignment horizontal="center" vertical="center"/>
      <protection hidden="1"/>
    </xf>
    <xf numFmtId="164" fontId="7" fillId="3" borderId="121" xfId="0" applyNumberFormat="1" applyFont="1" applyFill="1" applyBorder="1" applyAlignment="1" applyProtection="1">
      <alignment horizontal="center" vertical="center"/>
      <protection hidden="1"/>
    </xf>
    <xf numFmtId="164" fontId="7" fillId="3" borderId="122" xfId="0" applyNumberFormat="1" applyFont="1" applyFill="1" applyBorder="1" applyAlignment="1" applyProtection="1">
      <alignment horizontal="center" vertical="center"/>
      <protection hidden="1"/>
    </xf>
    <xf numFmtId="37" fontId="8" fillId="10" borderId="123" xfId="0" applyNumberFormat="1" applyFont="1" applyFill="1" applyBorder="1" applyAlignment="1" applyProtection="1">
      <alignment vertical="center"/>
      <protection hidden="1"/>
    </xf>
    <xf numFmtId="0" fontId="0" fillId="0" borderId="25" xfId="0" applyBorder="1" applyProtection="1">
      <protection hidden="1"/>
    </xf>
    <xf numFmtId="0" fontId="0" fillId="0" borderId="108" xfId="0" applyBorder="1" applyProtection="1">
      <protection hidden="1"/>
    </xf>
    <xf numFmtId="37" fontId="8" fillId="0" borderId="25" xfId="0" applyNumberFormat="1" applyFont="1" applyBorder="1" applyAlignment="1" applyProtection="1">
      <alignment vertical="center"/>
      <protection hidden="1"/>
    </xf>
    <xf numFmtId="37" fontId="6" fillId="0" borderId="26" xfId="0" applyNumberFormat="1" applyFont="1" applyBorder="1" applyAlignment="1" applyProtection="1">
      <alignment vertical="center"/>
      <protection hidden="1"/>
    </xf>
    <xf numFmtId="37" fontId="8" fillId="10" borderId="124" xfId="0" applyNumberFormat="1" applyFont="1" applyFill="1" applyBorder="1" applyAlignment="1" applyProtection="1">
      <alignment vertical="center"/>
      <protection hidden="1"/>
    </xf>
    <xf numFmtId="164" fontId="6" fillId="0" borderId="24" xfId="0" applyNumberFormat="1" applyFont="1" applyBorder="1" applyAlignment="1" applyProtection="1">
      <alignment vertical="center"/>
      <protection hidden="1"/>
    </xf>
    <xf numFmtId="37" fontId="8" fillId="10" borderId="125" xfId="0" applyNumberFormat="1" applyFont="1" applyFill="1" applyBorder="1" applyAlignment="1" applyProtection="1">
      <alignment vertical="center"/>
      <protection hidden="1"/>
    </xf>
    <xf numFmtId="37" fontId="8" fillId="10" borderId="39" xfId="0" applyNumberFormat="1" applyFont="1" applyFill="1" applyBorder="1" applyAlignment="1" applyProtection="1">
      <alignment vertical="center"/>
      <protection hidden="1"/>
    </xf>
    <xf numFmtId="164" fontId="15" fillId="4" borderId="126" xfId="0" applyNumberFormat="1" applyFont="1" applyFill="1" applyBorder="1" applyAlignment="1" applyProtection="1">
      <alignment horizontal="center" vertical="center"/>
      <protection hidden="1"/>
    </xf>
    <xf numFmtId="3" fontId="15" fillId="0" borderId="13" xfId="0" applyNumberFormat="1" applyFont="1" applyBorder="1" applyAlignment="1" applyProtection="1">
      <alignment horizontal="center" vertical="center"/>
      <protection hidden="1"/>
    </xf>
    <xf numFmtId="37" fontId="8" fillId="10" borderId="38" xfId="0" applyNumberFormat="1" applyFont="1" applyFill="1" applyBorder="1" applyAlignment="1" applyProtection="1">
      <alignment vertical="center"/>
      <protection hidden="1"/>
    </xf>
    <xf numFmtId="37" fontId="8" fillId="10" borderId="4" xfId="0" applyNumberFormat="1" applyFont="1" applyFill="1" applyBorder="1" applyAlignment="1" applyProtection="1">
      <alignment vertical="center"/>
      <protection hidden="1"/>
    </xf>
    <xf numFmtId="37" fontId="8" fillId="10" borderId="128" xfId="0" applyNumberFormat="1" applyFont="1" applyFill="1" applyBorder="1" applyAlignment="1" applyProtection="1">
      <alignment vertical="center"/>
      <protection hidden="1"/>
    </xf>
    <xf numFmtId="0" fontId="0" fillId="0" borderId="4" xfId="0" applyBorder="1" applyProtection="1">
      <protection hidden="1"/>
    </xf>
    <xf numFmtId="37" fontId="6" fillId="0" borderId="129" xfId="0" applyNumberFormat="1" applyFont="1" applyBorder="1" applyAlignment="1" applyProtection="1">
      <alignment vertical="center"/>
      <protection hidden="1"/>
    </xf>
    <xf numFmtId="164" fontId="6" fillId="3" borderId="130" xfId="0" applyNumberFormat="1" applyFont="1" applyFill="1" applyBorder="1" applyAlignment="1" applyProtection="1">
      <alignment horizontal="center" vertical="center"/>
      <protection hidden="1"/>
    </xf>
    <xf numFmtId="164" fontId="6" fillId="3" borderId="131" xfId="0" applyNumberFormat="1" applyFont="1" applyFill="1" applyBorder="1" applyAlignment="1" applyProtection="1">
      <alignment horizontal="center" vertical="center"/>
      <protection hidden="1"/>
    </xf>
    <xf numFmtId="164" fontId="6" fillId="3" borderId="132" xfId="0" applyNumberFormat="1" applyFont="1" applyFill="1" applyBorder="1" applyAlignment="1" applyProtection="1">
      <alignment horizontal="center" vertical="center"/>
      <protection hidden="1"/>
    </xf>
    <xf numFmtId="37" fontId="8" fillId="10" borderId="133" xfId="0" applyNumberFormat="1" applyFont="1" applyFill="1" applyBorder="1" applyAlignment="1" applyProtection="1">
      <alignment vertical="center"/>
      <protection hidden="1"/>
    </xf>
    <xf numFmtId="164" fontId="6" fillId="3" borderId="134" xfId="0" applyNumberFormat="1" applyFont="1" applyFill="1" applyBorder="1" applyAlignment="1" applyProtection="1">
      <alignment horizontal="center" vertical="center"/>
      <protection hidden="1"/>
    </xf>
    <xf numFmtId="164" fontId="6" fillId="3" borderId="135" xfId="0" applyNumberFormat="1" applyFont="1" applyFill="1" applyBorder="1" applyAlignment="1" applyProtection="1">
      <alignment horizontal="center" vertical="center"/>
      <protection hidden="1"/>
    </xf>
    <xf numFmtId="164" fontId="15" fillId="4" borderId="136" xfId="0" applyNumberFormat="1" applyFont="1" applyFill="1" applyBorder="1" applyAlignment="1" applyProtection="1">
      <alignment horizontal="left" vertical="center"/>
      <protection hidden="1"/>
    </xf>
    <xf numFmtId="0" fontId="0" fillId="0" borderId="4" xfId="0" applyBorder="1" applyAlignment="1" applyProtection="1">
      <alignment vertical="center"/>
      <protection hidden="1"/>
    </xf>
    <xf numFmtId="37" fontId="8" fillId="10" borderId="105" xfId="0" applyNumberFormat="1" applyFont="1" applyFill="1" applyBorder="1" applyAlignment="1" applyProtection="1">
      <alignment vertical="center"/>
      <protection hidden="1"/>
    </xf>
    <xf numFmtId="0" fontId="0" fillId="0" borderId="108" xfId="0" applyBorder="1" applyAlignment="1" applyProtection="1">
      <alignment vertical="center"/>
      <protection hidden="1"/>
    </xf>
    <xf numFmtId="0" fontId="0" fillId="0" borderId="129" xfId="0" applyBorder="1" applyProtection="1">
      <protection hidden="1"/>
    </xf>
    <xf numFmtId="3" fontId="14" fillId="0" borderId="0" xfId="0" applyNumberFormat="1" applyFont="1" applyFill="1" applyBorder="1" applyAlignment="1" applyProtection="1">
      <alignment horizontal="center" vertical="center"/>
      <protection hidden="1"/>
    </xf>
    <xf numFmtId="164" fontId="15" fillId="4" borderId="137" xfId="0" applyNumberFormat="1" applyFont="1" applyFill="1" applyBorder="1" applyAlignment="1" applyProtection="1">
      <alignment horizontal="left" vertical="center"/>
      <protection hidden="1"/>
    </xf>
    <xf numFmtId="164" fontId="15" fillId="4" borderId="138" xfId="0" applyNumberFormat="1" applyFont="1" applyFill="1" applyBorder="1" applyAlignment="1" applyProtection="1">
      <alignment horizontal="center" vertical="center"/>
      <protection hidden="1"/>
    </xf>
    <xf numFmtId="3" fontId="15" fillId="0" borderId="139" xfId="0" applyNumberFormat="1" applyFont="1" applyBorder="1" applyAlignment="1" applyProtection="1">
      <alignment horizontal="center" vertical="center"/>
      <protection hidden="1"/>
    </xf>
    <xf numFmtId="37" fontId="8" fillId="0" borderId="108" xfId="0" applyNumberFormat="1" applyFont="1" applyFill="1" applyBorder="1" applyAlignment="1" applyProtection="1">
      <alignment vertical="center"/>
      <protection hidden="1"/>
    </xf>
    <xf numFmtId="164" fontId="11" fillId="0" borderId="25" xfId="0" applyNumberFormat="1" applyFont="1" applyBorder="1" applyAlignment="1" applyProtection="1">
      <alignment vertical="center"/>
      <protection hidden="1"/>
    </xf>
    <xf numFmtId="2" fontId="8" fillId="0" borderId="13" xfId="0" applyNumberFormat="1" applyFont="1" applyFill="1" applyBorder="1" applyAlignment="1" applyProtection="1">
      <alignment vertical="center"/>
      <protection hidden="1"/>
    </xf>
    <xf numFmtId="164" fontId="0" fillId="10" borderId="108" xfId="0" applyNumberFormat="1" applyFill="1" applyBorder="1" applyAlignment="1" applyProtection="1">
      <alignment vertical="center"/>
      <protection hidden="1"/>
    </xf>
    <xf numFmtId="164" fontId="1" fillId="0" borderId="25" xfId="0" applyNumberFormat="1" applyFont="1" applyBorder="1" applyProtection="1">
      <protection hidden="1"/>
    </xf>
    <xf numFmtId="37" fontId="8" fillId="0" borderId="108" xfId="0" applyNumberFormat="1" applyFont="1" applyBorder="1" applyAlignment="1" applyProtection="1">
      <alignment horizontal="right"/>
      <protection hidden="1"/>
    </xf>
    <xf numFmtId="164" fontId="0" fillId="0" borderId="25" xfId="0" applyNumberFormat="1" applyBorder="1" applyProtection="1">
      <protection hidden="1"/>
    </xf>
    <xf numFmtId="164" fontId="6" fillId="0" borderId="26" xfId="0" applyNumberFormat="1" applyFont="1" applyBorder="1" applyProtection="1">
      <protection hidden="1"/>
    </xf>
    <xf numFmtId="164" fontId="7" fillId="3" borderId="140" xfId="0" applyNumberFormat="1" applyFont="1" applyFill="1" applyBorder="1" applyAlignment="1" applyProtection="1">
      <alignment horizontal="center" vertical="center"/>
      <protection hidden="1"/>
    </xf>
    <xf numFmtId="37" fontId="8" fillId="0" borderId="24" xfId="0" applyNumberFormat="1" applyFont="1" applyBorder="1" applyAlignment="1" applyProtection="1">
      <alignment vertical="center"/>
      <protection hidden="1"/>
    </xf>
    <xf numFmtId="0" fontId="7" fillId="0" borderId="0" xfId="0" applyFont="1" applyAlignment="1" applyProtection="1">
      <alignment vertical="center"/>
      <protection hidden="1"/>
    </xf>
    <xf numFmtId="0" fontId="1" fillId="0" borderId="0" xfId="0" applyFont="1" applyAlignment="1" applyProtection="1">
      <alignment horizontal="right" vertical="center"/>
      <protection hidden="1"/>
    </xf>
    <xf numFmtId="0" fontId="15" fillId="11" borderId="95" xfId="0" applyFont="1" applyFill="1" applyBorder="1" applyAlignment="1" applyProtection="1">
      <alignment horizontal="center" vertical="center"/>
      <protection hidden="1"/>
    </xf>
    <xf numFmtId="0" fontId="0" fillId="0" borderId="141" xfId="0" applyBorder="1" applyAlignment="1" applyProtection="1">
      <alignment vertical="center"/>
      <protection hidden="1"/>
    </xf>
    <xf numFmtId="1" fontId="0" fillId="0" borderId="25" xfId="0" applyNumberFormat="1" applyBorder="1" applyAlignment="1" applyProtection="1">
      <alignment horizontal="center" vertical="center"/>
      <protection hidden="1"/>
    </xf>
    <xf numFmtId="0" fontId="3" fillId="11" borderId="116" xfId="0" applyFont="1" applyFill="1" applyBorder="1" applyAlignment="1" applyProtection="1">
      <alignment horizontal="center" vertical="center"/>
      <protection hidden="1"/>
    </xf>
    <xf numFmtId="3" fontId="0" fillId="0" borderId="142" xfId="0" applyNumberFormat="1" applyBorder="1" applyAlignment="1" applyProtection="1">
      <alignment horizontal="center" vertical="center"/>
      <protection hidden="1"/>
    </xf>
    <xf numFmtId="3" fontId="0" fillId="0" borderId="143" xfId="0" applyNumberFormat="1" applyBorder="1" applyAlignment="1" applyProtection="1">
      <alignment horizontal="center" vertical="center"/>
      <protection hidden="1"/>
    </xf>
    <xf numFmtId="3" fontId="1" fillId="0" borderId="0" xfId="0" applyNumberFormat="1" applyFont="1" applyFill="1" applyBorder="1" applyAlignment="1" applyProtection="1">
      <alignment vertical="center"/>
      <protection hidden="1"/>
    </xf>
    <xf numFmtId="3" fontId="1" fillId="0" borderId="75" xfId="0" applyNumberFormat="1" applyFont="1" applyFill="1" applyBorder="1" applyAlignment="1" applyProtection="1">
      <alignment vertical="center"/>
      <protection hidden="1"/>
    </xf>
    <xf numFmtId="37" fontId="8" fillId="0" borderId="10" xfId="0" applyNumberFormat="1" applyFont="1" applyFill="1" applyBorder="1" applyAlignment="1" applyProtection="1">
      <alignment vertical="center"/>
      <protection hidden="1"/>
    </xf>
    <xf numFmtId="0" fontId="7" fillId="0" borderId="0" xfId="0" applyFont="1" applyBorder="1" applyAlignment="1" applyProtection="1">
      <alignment horizontal="right" vertical="center"/>
      <protection hidden="1"/>
    </xf>
    <xf numFmtId="37" fontId="0" fillId="0" borderId="25" xfId="0" applyNumberFormat="1" applyBorder="1" applyAlignment="1" applyProtection="1">
      <alignment vertical="center"/>
      <protection hidden="1"/>
    </xf>
    <xf numFmtId="164" fontId="6" fillId="0" borderId="25" xfId="0" applyNumberFormat="1" applyFont="1" applyBorder="1" applyAlignment="1" applyProtection="1">
      <alignment horizontal="left" vertical="center"/>
      <protection hidden="1"/>
    </xf>
    <xf numFmtId="164" fontId="19" fillId="0" borderId="146" xfId="0" applyNumberFormat="1" applyFont="1" applyBorder="1" applyAlignment="1" applyProtection="1">
      <alignment horizontal="center" vertical="center"/>
      <protection hidden="1"/>
    </xf>
    <xf numFmtId="164" fontId="1" fillId="0" borderId="25" xfId="0" applyNumberFormat="1" applyFont="1" applyFill="1" applyBorder="1" applyAlignment="1" applyProtection="1">
      <alignment vertical="center"/>
      <protection hidden="1"/>
    </xf>
    <xf numFmtId="0" fontId="0" fillId="0" borderId="146" xfId="0" applyBorder="1" applyAlignment="1" applyProtection="1">
      <alignment vertical="center"/>
      <protection hidden="1"/>
    </xf>
    <xf numFmtId="3" fontId="7" fillId="0" borderId="146" xfId="0" applyNumberFormat="1" applyFont="1" applyBorder="1" applyAlignment="1" applyProtection="1">
      <alignment vertical="center"/>
      <protection hidden="1"/>
    </xf>
    <xf numFmtId="37" fontId="6" fillId="0" borderId="146" xfId="0" applyNumberFormat="1" applyFont="1" applyBorder="1" applyAlignment="1" applyProtection="1">
      <alignment vertical="center"/>
      <protection hidden="1"/>
    </xf>
    <xf numFmtId="164" fontId="8" fillId="0" borderId="25" xfId="0" applyNumberFormat="1" applyFont="1" applyFill="1" applyBorder="1" applyAlignment="1" applyProtection="1">
      <alignment vertical="center"/>
      <protection hidden="1"/>
    </xf>
    <xf numFmtId="164" fontId="1" fillId="0" borderId="147" xfId="0" applyNumberFormat="1" applyFont="1" applyBorder="1" applyAlignment="1" applyProtection="1">
      <alignment vertical="center"/>
      <protection hidden="1"/>
    </xf>
    <xf numFmtId="37" fontId="6" fillId="0" borderId="146" xfId="0" quotePrefix="1" applyNumberFormat="1" applyFont="1" applyBorder="1" applyAlignment="1" applyProtection="1">
      <alignment horizontal="right" vertical="center"/>
      <protection hidden="1"/>
    </xf>
    <xf numFmtId="164" fontId="8" fillId="0" borderId="25" xfId="0" applyNumberFormat="1" applyFont="1" applyBorder="1" applyAlignment="1" applyProtection="1">
      <alignment vertical="center"/>
      <protection hidden="1"/>
    </xf>
    <xf numFmtId="164" fontId="7" fillId="0" borderId="25" xfId="0" applyNumberFormat="1" applyFont="1" applyBorder="1" applyAlignment="1" applyProtection="1">
      <alignment vertical="center"/>
      <protection hidden="1"/>
    </xf>
    <xf numFmtId="3" fontId="7" fillId="0" borderId="148" xfId="0" applyNumberFormat="1" applyFont="1" applyBorder="1" applyAlignment="1" applyProtection="1">
      <alignment vertical="center"/>
      <protection hidden="1"/>
    </xf>
    <xf numFmtId="164" fontId="0" fillId="0" borderId="26" xfId="0" applyNumberFormat="1" applyBorder="1" applyAlignment="1" applyProtection="1">
      <alignment vertical="center"/>
      <protection hidden="1"/>
    </xf>
    <xf numFmtId="164" fontId="8" fillId="0" borderId="24" xfId="0" applyNumberFormat="1" applyFont="1" applyBorder="1" applyAlignment="1" applyProtection="1">
      <alignment vertical="center"/>
      <protection hidden="1"/>
    </xf>
    <xf numFmtId="164" fontId="0" fillId="0" borderId="24" xfId="0" applyNumberFormat="1" applyBorder="1" applyAlignment="1" applyProtection="1">
      <alignment vertical="center"/>
      <protection hidden="1"/>
    </xf>
    <xf numFmtId="38" fontId="7" fillId="0" borderId="149" xfId="0" applyNumberFormat="1" applyFont="1" applyBorder="1" applyAlignment="1" applyProtection="1">
      <alignment vertical="center"/>
      <protection hidden="1"/>
    </xf>
    <xf numFmtId="166" fontId="8" fillId="0" borderId="127" xfId="0" applyNumberFormat="1" applyFont="1" applyFill="1" applyBorder="1" applyAlignment="1" applyProtection="1">
      <alignment vertical="center"/>
      <protection hidden="1"/>
    </xf>
    <xf numFmtId="37" fontId="8" fillId="0" borderId="129" xfId="0" applyNumberFormat="1" applyFont="1" applyBorder="1" applyAlignment="1" applyProtection="1">
      <alignment vertical="center"/>
      <protection hidden="1"/>
    </xf>
    <xf numFmtId="37" fontId="6" fillId="0" borderId="149" xfId="0" quotePrefix="1" applyNumberFormat="1" applyFont="1" applyBorder="1" applyAlignment="1" applyProtection="1">
      <alignment horizontal="right" vertical="center"/>
      <protection hidden="1"/>
    </xf>
    <xf numFmtId="164" fontId="33" fillId="0" borderId="0" xfId="0" applyNumberFormat="1" applyFont="1" applyAlignment="1" applyProtection="1">
      <alignment horizontal="center" vertical="center"/>
      <protection hidden="1"/>
    </xf>
    <xf numFmtId="164" fontId="0" fillId="0" borderId="0" xfId="0" applyNumberFormat="1" applyAlignment="1" applyProtection="1">
      <alignment horizontal="center"/>
      <protection hidden="1"/>
    </xf>
    <xf numFmtId="164" fontId="8" fillId="0" borderId="0" xfId="0" applyNumberFormat="1" applyFont="1" applyBorder="1" applyAlignment="1" applyProtection="1">
      <alignment horizontal="left" vertical="center"/>
      <protection hidden="1"/>
    </xf>
    <xf numFmtId="3" fontId="33" fillId="0" borderId="0" xfId="0" applyNumberFormat="1" applyFont="1" applyAlignment="1" applyProtection="1">
      <alignment horizontal="center" vertical="center"/>
      <protection hidden="1"/>
    </xf>
    <xf numFmtId="49" fontId="34" fillId="0" borderId="0" xfId="0" applyNumberFormat="1" applyFont="1" applyAlignment="1" applyProtection="1">
      <alignment horizontal="center" vertical="center"/>
      <protection hidden="1"/>
    </xf>
    <xf numFmtId="3" fontId="33" fillId="0" borderId="0" xfId="0" quotePrefix="1" applyNumberFormat="1" applyFont="1" applyAlignment="1" applyProtection="1">
      <alignment horizontal="center" vertical="center"/>
      <protection hidden="1"/>
    </xf>
    <xf numFmtId="164" fontId="34" fillId="0" borderId="0" xfId="0" applyNumberFormat="1" applyFont="1" applyAlignment="1" applyProtection="1">
      <alignment horizontal="center" vertical="center"/>
      <protection hidden="1"/>
    </xf>
    <xf numFmtId="164" fontId="7" fillId="0" borderId="0" xfId="0" applyNumberFormat="1" applyFont="1" applyBorder="1" applyProtection="1">
      <protection hidden="1"/>
    </xf>
    <xf numFmtId="164" fontId="7" fillId="0" borderId="0" xfId="0" applyNumberFormat="1" applyFont="1" applyBorder="1" applyAlignment="1" applyProtection="1">
      <alignment horizontal="center" wrapText="1"/>
      <protection hidden="1"/>
    </xf>
    <xf numFmtId="164" fontId="0" fillId="0" borderId="75" xfId="0" applyNumberFormat="1" applyBorder="1" applyProtection="1">
      <protection hidden="1"/>
    </xf>
    <xf numFmtId="4" fontId="0" fillId="0" borderId="75" xfId="0" applyNumberFormat="1" applyBorder="1" applyProtection="1">
      <protection hidden="1"/>
    </xf>
    <xf numFmtId="164" fontId="36" fillId="0" borderId="75" xfId="0" applyNumberFormat="1" applyFont="1" applyBorder="1" applyAlignment="1" applyProtection="1">
      <alignment horizontal="center" vertical="center"/>
      <protection hidden="1"/>
    </xf>
    <xf numFmtId="164" fontId="14" fillId="0" borderId="0" xfId="0" applyNumberFormat="1" applyFont="1" applyAlignment="1" applyProtection="1">
      <alignment horizontal="right"/>
      <protection hidden="1"/>
    </xf>
    <xf numFmtId="4" fontId="33" fillId="0" borderId="0" xfId="0" applyNumberFormat="1" applyFont="1" applyAlignment="1" applyProtection="1">
      <alignment horizontal="center" vertical="center"/>
      <protection hidden="1"/>
    </xf>
    <xf numFmtId="164" fontId="4" fillId="0" borderId="0" xfId="0" quotePrefix="1" applyNumberFormat="1" applyFont="1" applyAlignment="1" applyProtection="1">
      <alignment horizontal="center" vertical="center"/>
      <protection hidden="1"/>
    </xf>
    <xf numFmtId="3" fontId="8" fillId="0" borderId="0" xfId="0" quotePrefix="1" applyNumberFormat="1" applyFont="1" applyAlignment="1" applyProtection="1">
      <alignment horizontal="right"/>
      <protection hidden="1"/>
    </xf>
    <xf numFmtId="3" fontId="0" fillId="0" borderId="0" xfId="0" quotePrefix="1" applyNumberFormat="1" applyAlignment="1" applyProtection="1">
      <alignment horizontal="right"/>
      <protection hidden="1"/>
    </xf>
    <xf numFmtId="3" fontId="4" fillId="0" borderId="75" xfId="0" quotePrefix="1" applyNumberFormat="1" applyFont="1" applyBorder="1" applyAlignment="1" applyProtection="1">
      <alignment horizontal="right" vertical="center"/>
      <protection hidden="1"/>
    </xf>
    <xf numFmtId="164" fontId="4" fillId="0" borderId="75" xfId="0" applyNumberFormat="1" applyFont="1" applyBorder="1" applyAlignment="1" applyProtection="1">
      <alignment vertical="center"/>
      <protection hidden="1"/>
    </xf>
    <xf numFmtId="164" fontId="4" fillId="0" borderId="0" xfId="0" applyNumberFormat="1" applyFont="1" applyAlignment="1" applyProtection="1">
      <alignment horizontal="right" vertical="center"/>
      <protection hidden="1"/>
    </xf>
    <xf numFmtId="164" fontId="4" fillId="0" borderId="0" xfId="0" applyNumberFormat="1" applyFont="1" applyProtection="1">
      <protection hidden="1"/>
    </xf>
    <xf numFmtId="164" fontId="8" fillId="0" borderId="25" xfId="0" applyNumberFormat="1" applyFont="1" applyBorder="1" applyProtection="1">
      <protection hidden="1"/>
    </xf>
    <xf numFmtId="164" fontId="8" fillId="0" borderId="0" xfId="0" applyNumberFormat="1" applyFont="1" applyBorder="1" applyProtection="1">
      <protection hidden="1"/>
    </xf>
    <xf numFmtId="164" fontId="22" fillId="0" borderId="25" xfId="0" applyNumberFormat="1" applyFont="1" applyBorder="1" applyAlignment="1" applyProtection="1">
      <alignment vertical="center"/>
      <protection hidden="1"/>
    </xf>
    <xf numFmtId="164" fontId="1" fillId="0" borderId="110" xfId="0" applyNumberFormat="1" applyFont="1" applyBorder="1" applyProtection="1">
      <protection hidden="1"/>
    </xf>
    <xf numFmtId="0" fontId="39" fillId="6" borderId="80" xfId="0" applyFont="1" applyFill="1" applyBorder="1" applyAlignment="1" applyProtection="1">
      <alignment horizontal="center" vertical="center"/>
      <protection hidden="1"/>
    </xf>
    <xf numFmtId="37" fontId="8" fillId="10" borderId="150" xfId="0" applyNumberFormat="1" applyFont="1" applyFill="1" applyBorder="1" applyAlignment="1" applyProtection="1">
      <alignment vertical="center"/>
      <protection hidden="1"/>
    </xf>
    <xf numFmtId="164" fontId="0" fillId="10" borderId="150" xfId="0" applyNumberFormat="1" applyFill="1" applyBorder="1" applyAlignment="1" applyProtection="1">
      <alignment vertical="center"/>
      <protection hidden="1"/>
    </xf>
    <xf numFmtId="37" fontId="17" fillId="0" borderId="0" xfId="0" applyNumberFormat="1" applyFont="1" applyFill="1" applyAlignment="1" applyProtection="1">
      <alignment vertical="center"/>
      <protection hidden="1"/>
    </xf>
    <xf numFmtId="164" fontId="14" fillId="8" borderId="0" xfId="0" applyNumberFormat="1" applyFont="1" applyFill="1" applyProtection="1">
      <protection hidden="1"/>
    </xf>
    <xf numFmtId="37" fontId="18" fillId="8" borderId="0" xfId="0" applyNumberFormat="1" applyFont="1" applyFill="1" applyAlignment="1" applyProtection="1">
      <alignment vertical="center"/>
      <protection hidden="1"/>
    </xf>
    <xf numFmtId="0" fontId="38" fillId="6" borderId="78" xfId="0" applyFont="1" applyFill="1" applyBorder="1" applyAlignment="1" applyProtection="1">
      <alignment horizontal="center" vertical="center"/>
      <protection hidden="1"/>
    </xf>
    <xf numFmtId="0" fontId="38" fillId="6" borderId="79" xfId="0" applyFont="1" applyFill="1" applyBorder="1" applyAlignment="1" applyProtection="1">
      <alignment horizontal="center" vertical="center"/>
      <protection hidden="1"/>
    </xf>
    <xf numFmtId="0" fontId="38" fillId="6" borderId="145" xfId="0" applyFont="1" applyFill="1" applyBorder="1" applyAlignment="1" applyProtection="1">
      <alignment horizontal="center" vertical="center"/>
      <protection hidden="1"/>
    </xf>
    <xf numFmtId="37" fontId="40" fillId="6" borderId="78" xfId="0" applyNumberFormat="1" applyFont="1" applyFill="1" applyBorder="1" applyAlignment="1" applyProtection="1">
      <alignment horizontal="center" vertical="center"/>
      <protection hidden="1"/>
    </xf>
    <xf numFmtId="0" fontId="40" fillId="6" borderId="79" xfId="0" applyFont="1" applyFill="1" applyBorder="1" applyAlignment="1" applyProtection="1">
      <alignment horizontal="center" vertical="center"/>
      <protection hidden="1"/>
    </xf>
    <xf numFmtId="0" fontId="38" fillId="6" borderId="93" xfId="0" applyFont="1" applyFill="1" applyBorder="1" applyAlignment="1" applyProtection="1">
      <alignment horizontal="center" vertical="center"/>
      <protection hidden="1"/>
    </xf>
    <xf numFmtId="0" fontId="38" fillId="6" borderId="0" xfId="0" applyFont="1" applyFill="1" applyBorder="1" applyAlignment="1" applyProtection="1">
      <alignment horizontal="center" vertical="center"/>
      <protection hidden="1"/>
    </xf>
    <xf numFmtId="0" fontId="38" fillId="6" borderId="144" xfId="0" applyFont="1" applyFill="1" applyBorder="1" applyAlignment="1" applyProtection="1">
      <alignment horizontal="center" vertical="center"/>
      <protection hidden="1"/>
    </xf>
    <xf numFmtId="37" fontId="38" fillId="6" borderId="93" xfId="0" applyNumberFormat="1" applyFont="1" applyFill="1" applyBorder="1" applyAlignment="1" applyProtection="1">
      <alignment horizontal="center" vertical="center"/>
      <protection hidden="1"/>
    </xf>
    <xf numFmtId="37" fontId="38" fillId="6" borderId="0" xfId="0" applyNumberFormat="1" applyFont="1" applyFill="1" applyBorder="1" applyAlignment="1" applyProtection="1">
      <alignment horizontal="center" vertical="center"/>
      <protection hidden="1"/>
    </xf>
    <xf numFmtId="37" fontId="38" fillId="6" borderId="144" xfId="0" applyNumberFormat="1" applyFont="1" applyFill="1" applyBorder="1" applyAlignment="1" applyProtection="1">
      <alignment horizontal="center" vertical="center"/>
      <protection hidden="1"/>
    </xf>
    <xf numFmtId="0" fontId="14" fillId="0" borderId="0" xfId="0" applyFont="1" applyBorder="1" applyAlignment="1" applyProtection="1">
      <alignment horizontal="left" vertical="top" wrapText="1"/>
      <protection hidden="1"/>
    </xf>
    <xf numFmtId="0" fontId="14" fillId="0" borderId="0" xfId="0" applyFont="1" applyFill="1" applyAlignment="1" applyProtection="1">
      <alignment horizontal="left"/>
      <protection hidden="1"/>
    </xf>
    <xf numFmtId="165" fontId="0" fillId="0" borderId="0" xfId="0" applyNumberFormat="1" applyBorder="1" applyAlignment="1" applyProtection="1">
      <alignment horizontal="center" vertical="center"/>
      <protection hidden="1"/>
    </xf>
    <xf numFmtId="0" fontId="0" fillId="0" borderId="0" xfId="0" applyBorder="1" applyAlignment="1" applyProtection="1">
      <alignment horizontal="center" vertical="center"/>
      <protection hidden="1"/>
    </xf>
    <xf numFmtId="37" fontId="7" fillId="0" borderId="37" xfId="0" applyNumberFormat="1" applyFont="1" applyFill="1" applyBorder="1" applyAlignment="1" applyProtection="1">
      <alignment horizontal="center" vertical="center"/>
      <protection hidden="1"/>
    </xf>
    <xf numFmtId="2" fontId="0" fillId="0" borderId="38" xfId="0" applyNumberFormat="1" applyFill="1" applyBorder="1" applyAlignment="1" applyProtection="1">
      <alignment horizontal="center" vertical="center"/>
      <protection hidden="1"/>
    </xf>
    <xf numFmtId="2" fontId="0" fillId="0" borderId="39" xfId="0" applyNumberFormat="1" applyFill="1" applyBorder="1" applyAlignment="1" applyProtection="1">
      <alignment horizontal="center" vertical="center"/>
      <protection hidden="1"/>
    </xf>
    <xf numFmtId="37" fontId="7" fillId="0" borderId="27" xfId="0" applyNumberFormat="1" applyFont="1" applyFill="1" applyBorder="1" applyAlignment="1" applyProtection="1">
      <alignment horizontal="center" vertical="center"/>
      <protection hidden="1"/>
    </xf>
    <xf numFmtId="37" fontId="7" fillId="0" borderId="0" xfId="0" applyNumberFormat="1" applyFont="1" applyAlignment="1" applyProtection="1">
      <alignment horizontal="center" vertical="center"/>
      <protection hidden="1"/>
    </xf>
    <xf numFmtId="2" fontId="0" fillId="0" borderId="75" xfId="0" applyNumberFormat="1" applyFill="1" applyBorder="1" applyAlignment="1" applyProtection="1">
      <alignment horizontal="center" vertical="center"/>
      <protection hidden="1"/>
    </xf>
    <xf numFmtId="0" fontId="14" fillId="0" borderId="0" xfId="0" applyFont="1" applyFill="1" applyAlignment="1" applyProtection="1">
      <alignment horizontal="left" vertical="top" wrapText="1"/>
      <protection hidden="1"/>
    </xf>
    <xf numFmtId="164" fontId="15" fillId="4" borderId="19" xfId="0" applyNumberFormat="1" applyFont="1" applyFill="1" applyBorder="1" applyAlignment="1" applyProtection="1">
      <alignment horizontal="center" vertical="center"/>
      <protection hidden="1"/>
    </xf>
    <xf numFmtId="164" fontId="15" fillId="4" borderId="17" xfId="0" applyNumberFormat="1" applyFont="1" applyFill="1" applyBorder="1" applyAlignment="1" applyProtection="1">
      <alignment horizontal="center" vertical="center"/>
      <protection hidden="1"/>
    </xf>
    <xf numFmtId="164" fontId="15" fillId="4" borderId="18" xfId="0" applyNumberFormat="1" applyFont="1" applyFill="1" applyBorder="1" applyAlignment="1" applyProtection="1">
      <alignment horizontal="center" vertical="center"/>
      <protection hidden="1"/>
    </xf>
    <xf numFmtId="164" fontId="14" fillId="4" borderId="19" xfId="0" applyNumberFormat="1" applyFont="1" applyFill="1" applyBorder="1" applyAlignment="1" applyProtection="1">
      <alignment horizontal="center" vertical="center"/>
      <protection hidden="1"/>
    </xf>
    <xf numFmtId="164" fontId="14" fillId="4" borderId="17" xfId="0" applyNumberFormat="1" applyFont="1" applyFill="1" applyBorder="1" applyAlignment="1" applyProtection="1">
      <alignment horizontal="center" vertical="center"/>
      <protection hidden="1"/>
    </xf>
    <xf numFmtId="164" fontId="14" fillId="4" borderId="18" xfId="0" applyNumberFormat="1" applyFont="1" applyFill="1" applyBorder="1" applyAlignment="1" applyProtection="1">
      <alignment horizontal="center" vertical="center"/>
      <protection hidden="1"/>
    </xf>
    <xf numFmtId="164" fontId="7" fillId="3" borderId="58" xfId="0" applyNumberFormat="1" applyFont="1" applyFill="1" applyBorder="1" applyAlignment="1" applyProtection="1">
      <alignment horizontal="center" vertical="center"/>
      <protection hidden="1"/>
    </xf>
    <xf numFmtId="164" fontId="7" fillId="3" borderId="59" xfId="0" applyNumberFormat="1" applyFont="1" applyFill="1" applyBorder="1" applyAlignment="1" applyProtection="1">
      <alignment horizontal="center" vertical="center"/>
      <protection hidden="1"/>
    </xf>
    <xf numFmtId="164" fontId="7" fillId="3" borderId="60" xfId="0" applyNumberFormat="1" applyFont="1" applyFill="1" applyBorder="1" applyAlignment="1" applyProtection="1">
      <alignment horizontal="center" vertical="center"/>
      <protection hidden="1"/>
    </xf>
    <xf numFmtId="0" fontId="14" fillId="0" borderId="0" xfId="0" applyFont="1" applyFill="1" applyBorder="1" applyAlignment="1" applyProtection="1">
      <alignment horizontal="left" vertical="top" wrapText="1"/>
      <protection hidden="1"/>
    </xf>
    <xf numFmtId="37" fontId="7" fillId="0" borderId="0" xfId="0" applyNumberFormat="1" applyFont="1" applyFill="1" applyAlignment="1" applyProtection="1">
      <alignment horizontal="center" vertical="center"/>
      <protection hidden="1"/>
    </xf>
    <xf numFmtId="37" fontId="8" fillId="0" borderId="0" xfId="0" applyNumberFormat="1" applyFont="1" applyFill="1" applyAlignment="1" applyProtection="1">
      <alignment vertical="center"/>
      <protection hidden="1"/>
    </xf>
    <xf numFmtId="37" fontId="8" fillId="12" borderId="0" xfId="0" applyNumberFormat="1" applyFont="1" applyFill="1" applyBorder="1" applyAlignment="1" applyProtection="1">
      <alignment vertical="center"/>
      <protection hidden="1"/>
    </xf>
    <xf numFmtId="37" fontId="8" fillId="12" borderId="75" xfId="0" applyNumberFormat="1" applyFont="1" applyFill="1" applyBorder="1" applyAlignment="1" applyProtection="1">
      <alignment vertical="center"/>
      <protection hidden="1"/>
    </xf>
    <xf numFmtId="37" fontId="8" fillId="12" borderId="0" xfId="0" quotePrefix="1" applyNumberFormat="1" applyFont="1" applyFill="1" applyBorder="1" applyAlignment="1" applyProtection="1">
      <alignment vertical="center"/>
      <protection hidden="1"/>
    </xf>
    <xf numFmtId="0" fontId="0" fillId="0" borderId="0" xfId="0" applyAlignment="1" applyProtection="1">
      <alignment horizontal="center" vertical="center"/>
      <protection hidden="1"/>
    </xf>
    <xf numFmtId="0" fontId="40" fillId="6" borderId="78" xfId="0" applyFont="1" applyFill="1" applyBorder="1" applyAlignment="1" applyProtection="1">
      <alignment horizontal="center" vertical="center"/>
      <protection hidden="1"/>
    </xf>
    <xf numFmtId="0" fontId="40" fillId="6" borderId="93" xfId="0" applyFont="1" applyFill="1" applyBorder="1" applyAlignment="1" applyProtection="1">
      <alignment horizontal="center" vertical="center"/>
      <protection hidden="1"/>
    </xf>
    <xf numFmtId="0" fontId="40" fillId="6" borderId="0" xfId="0" applyFont="1" applyFill="1" applyBorder="1" applyAlignment="1" applyProtection="1">
      <alignment horizontal="center" vertical="center"/>
      <protection hidden="1"/>
    </xf>
    <xf numFmtId="0" fontId="40" fillId="6" borderId="144" xfId="0" applyFont="1" applyFill="1" applyBorder="1" applyAlignment="1" applyProtection="1">
      <alignment horizontal="center" vertical="center"/>
      <protection hidden="1"/>
    </xf>
    <xf numFmtId="37" fontId="40" fillId="6" borderId="93" xfId="0" applyNumberFormat="1" applyFont="1" applyFill="1" applyBorder="1" applyAlignment="1" applyProtection="1">
      <alignment horizontal="center" vertical="center"/>
      <protection hidden="1"/>
    </xf>
    <xf numFmtId="37" fontId="40" fillId="6" borderId="0" xfId="0" applyNumberFormat="1" applyFont="1" applyFill="1" applyBorder="1" applyAlignment="1" applyProtection="1">
      <alignment horizontal="center" vertical="center"/>
      <protection hidden="1"/>
    </xf>
    <xf numFmtId="37" fontId="40" fillId="6" borderId="144" xfId="0" applyNumberFormat="1" applyFont="1" applyFill="1" applyBorder="1" applyAlignment="1" applyProtection="1">
      <alignment horizontal="center" vertical="center"/>
      <protection hidden="1"/>
    </xf>
    <xf numFmtId="0" fontId="40" fillId="6" borderId="145" xfId="0" applyFont="1" applyFill="1" applyBorder="1" applyAlignment="1" applyProtection="1">
      <alignment horizontal="center" vertical="center"/>
      <protection hidden="1"/>
    </xf>
    <xf numFmtId="164" fontId="14" fillId="0" borderId="0" xfId="0" applyNumberFormat="1" applyFont="1" applyFill="1" applyAlignment="1" applyProtection="1">
      <alignment vertical="center"/>
      <protection hidden="1"/>
    </xf>
    <xf numFmtId="37" fontId="41" fillId="0" borderId="10" xfId="1" applyNumberFormat="1" applyFill="1" applyBorder="1" applyAlignment="1" applyProtection="1">
      <alignment vertical="center"/>
      <protection hidden="1"/>
    </xf>
    <xf numFmtId="37" fontId="8" fillId="12" borderId="10" xfId="0" applyNumberFormat="1" applyFont="1" applyFill="1" applyBorder="1" applyAlignment="1" applyProtection="1">
      <alignment vertical="center"/>
      <protection hidden="1"/>
    </xf>
    <xf numFmtId="164" fontId="14" fillId="12" borderId="77" xfId="0" applyNumberFormat="1" applyFont="1" applyFill="1" applyBorder="1" applyAlignment="1" applyProtection="1">
      <alignment horizontal="left" vertical="center"/>
      <protection hidden="1"/>
    </xf>
    <xf numFmtId="3" fontId="14" fillId="12" borderId="69" xfId="0" applyNumberFormat="1" applyFont="1" applyFill="1" applyBorder="1" applyAlignment="1" applyProtection="1">
      <alignment horizontal="center" vertical="center"/>
      <protection hidden="1"/>
    </xf>
    <xf numFmtId="164" fontId="14" fillId="12" borderId="102" xfId="0" applyNumberFormat="1" applyFont="1" applyFill="1" applyBorder="1" applyAlignment="1" applyProtection="1">
      <alignment horizontal="left" vertical="center"/>
      <protection hidden="1"/>
    </xf>
    <xf numFmtId="164" fontId="14" fillId="12" borderId="69" xfId="0" applyNumberFormat="1" applyFont="1" applyFill="1" applyBorder="1" applyAlignment="1" applyProtection="1">
      <alignment horizontal="center" vertical="center"/>
      <protection hidden="1"/>
    </xf>
    <xf numFmtId="164" fontId="14" fillId="12" borderId="51" xfId="0" applyNumberFormat="1" applyFont="1" applyFill="1" applyBorder="1" applyAlignment="1" applyProtection="1">
      <alignment horizontal="center" vertical="center"/>
      <protection hidden="1"/>
    </xf>
    <xf numFmtId="3" fontId="15" fillId="12" borderId="139" xfId="0" applyNumberFormat="1" applyFont="1" applyFill="1" applyBorder="1" applyAlignment="1" applyProtection="1">
      <alignment horizontal="center" vertical="center"/>
      <protection hidden="1"/>
    </xf>
    <xf numFmtId="164" fontId="0" fillId="0" borderId="0" xfId="0" applyNumberFormat="1" applyFill="1" applyAlignment="1" applyProtection="1">
      <alignment vertical="center"/>
      <protection hidden="1"/>
    </xf>
    <xf numFmtId="164" fontId="14" fillId="0" borderId="46" xfId="0" applyNumberFormat="1" applyFont="1" applyFill="1" applyBorder="1" applyAlignment="1" applyProtection="1">
      <alignment horizontal="center" vertical="center"/>
      <protection hidden="1"/>
    </xf>
    <xf numFmtId="164" fontId="14" fillId="0" borderId="54" xfId="0" applyNumberFormat="1" applyFont="1" applyFill="1" applyBorder="1" applyAlignment="1" applyProtection="1">
      <alignment horizontal="center" vertical="center"/>
      <protection hidden="1"/>
    </xf>
    <xf numFmtId="164" fontId="0" fillId="0" borderId="0" xfId="0" applyNumberFormat="1" applyFill="1" applyProtection="1">
      <protection hidden="1"/>
    </xf>
    <xf numFmtId="3" fontId="15" fillId="12" borderId="51" xfId="0" applyNumberFormat="1" applyFont="1" applyFill="1" applyBorder="1" applyAlignment="1" applyProtection="1">
      <alignment horizontal="center" vertical="center"/>
      <protection hidden="1"/>
    </xf>
    <xf numFmtId="164" fontId="14" fillId="12" borderId="54" xfId="0" applyNumberFormat="1" applyFont="1" applyFill="1" applyBorder="1" applyAlignment="1" applyProtection="1">
      <alignment horizontal="center" vertical="center"/>
      <protection hidden="1"/>
    </xf>
    <xf numFmtId="3" fontId="15" fillId="12" borderId="50" xfId="0" applyNumberFormat="1" applyFont="1" applyFill="1" applyBorder="1" applyAlignment="1" applyProtection="1">
      <alignment horizontal="center" vertical="center"/>
      <protection hidden="1"/>
    </xf>
    <xf numFmtId="164" fontId="14" fillId="0" borderId="0" xfId="0" applyNumberFormat="1" applyFont="1" applyFill="1" applyProtection="1">
      <protection hidden="1"/>
    </xf>
    <xf numFmtId="164" fontId="15" fillId="4" borderId="152" xfId="0" applyNumberFormat="1" applyFont="1" applyFill="1" applyBorder="1" applyAlignment="1" applyProtection="1">
      <alignment horizontal="center" vertical="center"/>
      <protection hidden="1"/>
    </xf>
    <xf numFmtId="164" fontId="14" fillId="5" borderId="139" xfId="0" applyNumberFormat="1" applyFont="1" applyFill="1" applyBorder="1" applyAlignment="1" applyProtection="1">
      <alignment horizontal="center" vertical="center"/>
      <protection hidden="1"/>
    </xf>
    <xf numFmtId="164" fontId="14" fillId="12" borderId="151" xfId="0" applyNumberFormat="1" applyFont="1" applyFill="1" applyBorder="1" applyAlignment="1" applyProtection="1">
      <alignment horizontal="center" vertical="center"/>
      <protection hidden="1"/>
    </xf>
    <xf numFmtId="3" fontId="14" fillId="12" borderId="54" xfId="0" applyNumberFormat="1" applyFont="1" applyFill="1" applyBorder="1" applyAlignment="1" applyProtection="1">
      <alignment horizontal="center" vertical="center"/>
      <protection hidden="1"/>
    </xf>
    <xf numFmtId="37" fontId="18" fillId="0" borderId="0" xfId="0" applyNumberFormat="1" applyFont="1" applyFill="1" applyAlignment="1" applyProtection="1">
      <alignment vertical="center"/>
      <protection hidden="1"/>
    </xf>
    <xf numFmtId="3" fontId="15" fillId="12" borderId="74" xfId="0" applyNumberFormat="1" applyFont="1" applyFill="1" applyBorder="1" applyAlignment="1" applyProtection="1">
      <alignment horizontal="center" vertical="center"/>
      <protection hidden="1"/>
    </xf>
    <xf numFmtId="37" fontId="25" fillId="0" borderId="0" xfId="0" applyNumberFormat="1" applyFont="1" applyFill="1" applyAlignment="1" applyProtection="1">
      <alignment vertical="center"/>
      <protection hidden="1"/>
    </xf>
    <xf numFmtId="3" fontId="0" fillId="0" borderId="0" xfId="0" applyNumberFormat="1" applyAlignment="1" applyProtection="1">
      <alignment vertical="center"/>
      <protection hidden="1"/>
    </xf>
    <xf numFmtId="164" fontId="1" fillId="0" borderId="0" xfId="0" applyNumberFormat="1" applyFont="1" applyAlignment="1" applyProtection="1">
      <alignment horizontal="center" vertical="center"/>
      <protection hidden="1"/>
    </xf>
    <xf numFmtId="164" fontId="0" fillId="0" borderId="0" xfId="0" applyNumberFormat="1" applyAlignment="1" applyProtection="1">
      <alignment horizontal="center" vertical="center"/>
      <protection hidden="1"/>
    </xf>
    <xf numFmtId="3" fontId="0" fillId="0" borderId="0" xfId="0" applyNumberFormat="1" applyAlignment="1" applyProtection="1">
      <alignment horizontal="center" vertical="center"/>
      <protection hidden="1"/>
    </xf>
    <xf numFmtId="164" fontId="1" fillId="0" borderId="0" xfId="0" quotePrefix="1" applyNumberFormat="1" applyFont="1" applyProtection="1">
      <protection hidden="1"/>
    </xf>
    <xf numFmtId="3" fontId="1" fillId="0" borderId="0" xfId="0" quotePrefix="1" applyNumberFormat="1" applyFont="1" applyAlignment="1" applyProtection="1">
      <alignment horizontal="center" vertical="center"/>
      <protection hidden="1"/>
    </xf>
    <xf numFmtId="3" fontId="0" fillId="0" borderId="0" xfId="0" applyNumberFormat="1" applyAlignment="1" applyProtection="1">
      <alignment horizontal="center"/>
      <protection hidden="1"/>
    </xf>
    <xf numFmtId="3" fontId="1" fillId="0" borderId="0" xfId="0" applyNumberFormat="1" applyFont="1" applyAlignment="1" applyProtection="1">
      <alignment horizontal="center" vertical="center"/>
      <protection hidden="1"/>
    </xf>
    <xf numFmtId="4" fontId="0" fillId="0" borderId="0" xfId="0" applyNumberFormat="1" applyAlignment="1" applyProtection="1">
      <alignment horizontal="center"/>
      <protection hidden="1"/>
    </xf>
    <xf numFmtId="37" fontId="0" fillId="15" borderId="0" xfId="0" applyNumberFormat="1" applyFill="1" applyProtection="1">
      <protection hidden="1"/>
    </xf>
    <xf numFmtId="4" fontId="0" fillId="0" borderId="0" xfId="0" applyNumberFormat="1" applyAlignment="1" applyProtection="1">
      <alignment vertical="center"/>
      <protection hidden="1"/>
    </xf>
    <xf numFmtId="4" fontId="0" fillId="0" borderId="0" xfId="0" applyNumberFormat="1" applyProtection="1">
      <protection hidden="1"/>
    </xf>
    <xf numFmtId="37" fontId="24" fillId="8" borderId="0" xfId="0" applyNumberFormat="1" applyFont="1" applyFill="1" applyAlignment="1" applyProtection="1">
      <alignment vertical="center"/>
      <protection hidden="1"/>
    </xf>
    <xf numFmtId="37" fontId="0" fillId="14" borderId="0" xfId="0" applyNumberFormat="1" applyFill="1" applyProtection="1">
      <protection hidden="1"/>
    </xf>
    <xf numFmtId="37" fontId="44" fillId="8" borderId="0" xfId="0" applyNumberFormat="1" applyFont="1" applyFill="1" applyAlignment="1" applyProtection="1">
      <alignment vertical="center"/>
      <protection hidden="1"/>
    </xf>
    <xf numFmtId="37" fontId="24" fillId="6" borderId="0" xfId="0" applyNumberFormat="1" applyFont="1" applyFill="1" applyAlignment="1" applyProtection="1">
      <alignment vertical="center"/>
      <protection hidden="1"/>
    </xf>
    <xf numFmtId="37" fontId="7" fillId="7" borderId="34" xfId="0" applyNumberFormat="1" applyFont="1" applyFill="1" applyBorder="1" applyAlignment="1" applyProtection="1">
      <alignment vertical="center"/>
      <protection hidden="1"/>
    </xf>
    <xf numFmtId="0" fontId="7" fillId="0" borderId="0" xfId="0" applyFont="1" applyBorder="1" applyAlignment="1" applyProtection="1">
      <alignment horizontal="center"/>
      <protection hidden="1"/>
    </xf>
    <xf numFmtId="0" fontId="0" fillId="0" borderId="0" xfId="0" applyBorder="1" applyAlignment="1" applyProtection="1">
      <alignment horizontal="center"/>
      <protection hidden="1"/>
    </xf>
    <xf numFmtId="37" fontId="7" fillId="0" borderId="0" xfId="0" applyNumberFormat="1" applyFont="1" applyBorder="1" applyAlignment="1" applyProtection="1">
      <alignment horizontal="center"/>
      <protection hidden="1"/>
    </xf>
    <xf numFmtId="3" fontId="0" fillId="0" borderId="0" xfId="0" applyNumberFormat="1" applyBorder="1" applyAlignment="1" applyProtection="1">
      <alignment horizontal="center" vertical="center"/>
      <protection hidden="1"/>
    </xf>
    <xf numFmtId="37" fontId="7" fillId="0" borderId="0" xfId="0" applyNumberFormat="1" applyFont="1" applyFill="1" applyBorder="1" applyAlignment="1" applyProtection="1">
      <alignment horizontal="center" vertical="center"/>
      <protection hidden="1"/>
    </xf>
    <xf numFmtId="2" fontId="0" fillId="0" borderId="0" xfId="0" applyNumberFormat="1" applyFill="1" applyBorder="1" applyAlignment="1" applyProtection="1">
      <alignment horizontal="center" vertical="center"/>
      <protection hidden="1"/>
    </xf>
    <xf numFmtId="0" fontId="5" fillId="0" borderId="0" xfId="0" applyFont="1" applyFill="1" applyBorder="1" applyAlignment="1" applyProtection="1">
      <alignment horizontal="right" vertical="center"/>
      <protection hidden="1"/>
    </xf>
    <xf numFmtId="0" fontId="4" fillId="0" borderId="0" xfId="0" applyFont="1" applyFill="1" applyBorder="1" applyAlignment="1" applyProtection="1">
      <alignment horizontal="left" vertical="top" wrapText="1"/>
      <protection hidden="1"/>
    </xf>
    <xf numFmtId="0" fontId="23" fillId="0" borderId="0" xfId="0" applyFont="1" applyFill="1" applyAlignment="1" applyProtection="1">
      <alignment horizontal="center" vertical="center"/>
      <protection hidden="1"/>
    </xf>
    <xf numFmtId="49" fontId="7" fillId="0" borderId="0" xfId="0" applyNumberFormat="1" applyFont="1" applyFill="1" applyBorder="1" applyAlignment="1" applyProtection="1">
      <alignment horizontal="center" vertical="center"/>
      <protection hidden="1"/>
    </xf>
    <xf numFmtId="3" fontId="7" fillId="0" borderId="0" xfId="0" applyNumberFormat="1" applyFont="1" applyFill="1" applyBorder="1" applyAlignment="1" applyProtection="1">
      <alignment horizontal="center" vertical="center"/>
      <protection hidden="1"/>
    </xf>
    <xf numFmtId="165" fontId="0" fillId="0" borderId="0" xfId="0" applyNumberFormat="1" applyFill="1" applyBorder="1" applyAlignment="1" applyProtection="1">
      <alignment horizontal="center" vertical="center"/>
      <protection hidden="1"/>
    </xf>
    <xf numFmtId="37" fontId="44" fillId="0" borderId="0" xfId="0" applyNumberFormat="1" applyFont="1" applyFill="1" applyBorder="1" applyAlignment="1" applyProtection="1">
      <alignment horizontal="center" vertical="center"/>
      <protection hidden="1"/>
    </xf>
    <xf numFmtId="37" fontId="0" fillId="0" borderId="0" xfId="0" applyNumberFormat="1" applyFill="1" applyBorder="1" applyAlignment="1" applyProtection="1">
      <alignment horizontal="center"/>
      <protection hidden="1"/>
    </xf>
    <xf numFmtId="37" fontId="24" fillId="0" borderId="0" xfId="0" applyNumberFormat="1" applyFont="1" applyFill="1" applyBorder="1" applyAlignment="1" applyProtection="1">
      <alignment horizontal="center" vertical="center"/>
      <protection hidden="1"/>
    </xf>
    <xf numFmtId="37" fontId="0" fillId="0" borderId="0" xfId="0" applyNumberFormat="1" applyFill="1" applyAlignment="1" applyProtection="1">
      <alignment vertical="center"/>
      <protection hidden="1"/>
    </xf>
    <xf numFmtId="0" fontId="14" fillId="0" borderId="0" xfId="0" applyFont="1" applyFill="1" applyBorder="1" applyAlignment="1" applyProtection="1">
      <alignment vertical="top" wrapText="1"/>
      <protection hidden="1"/>
    </xf>
    <xf numFmtId="49" fontId="27" fillId="0" borderId="0" xfId="0" applyNumberFormat="1" applyFont="1" applyFill="1" applyBorder="1" applyAlignment="1" applyProtection="1">
      <alignment horizontal="right" vertical="center"/>
      <protection hidden="1"/>
    </xf>
    <xf numFmtId="0" fontId="29" fillId="0" borderId="0" xfId="0" applyFont="1" applyFill="1" applyAlignment="1" applyProtection="1">
      <alignment horizontal="right" vertical="center"/>
      <protection hidden="1"/>
    </xf>
    <xf numFmtId="164" fontId="20" fillId="0" borderId="0" xfId="0" applyNumberFormat="1" applyFont="1" applyBorder="1" applyAlignment="1" applyProtection="1">
      <alignment horizontal="center" vertical="center"/>
      <protection hidden="1"/>
    </xf>
    <xf numFmtId="164" fontId="44" fillId="6" borderId="0" xfId="0" applyNumberFormat="1" applyFont="1" applyFill="1" applyBorder="1" applyAlignment="1" applyProtection="1">
      <alignment vertical="center"/>
      <protection hidden="1"/>
    </xf>
    <xf numFmtId="164" fontId="19" fillId="0" borderId="159" xfId="0" applyNumberFormat="1" applyFont="1" applyBorder="1" applyAlignment="1" applyProtection="1">
      <alignment horizontal="center" vertical="center"/>
      <protection hidden="1"/>
    </xf>
    <xf numFmtId="4" fontId="0" fillId="0" borderId="0" xfId="0" applyNumberFormat="1" applyAlignment="1" applyProtection="1">
      <alignment horizontal="center" vertical="center"/>
      <protection hidden="1"/>
    </xf>
    <xf numFmtId="37" fontId="7" fillId="7" borderId="32" xfId="0" applyNumberFormat="1" applyFont="1" applyFill="1" applyBorder="1" applyAlignment="1" applyProtection="1">
      <alignment vertical="center"/>
      <protection hidden="1"/>
    </xf>
    <xf numFmtId="0" fontId="0" fillId="0" borderId="0" xfId="0" applyFill="1" applyAlignment="1" applyProtection="1">
      <alignment horizontal="center" vertical="center"/>
      <protection hidden="1"/>
    </xf>
    <xf numFmtId="3" fontId="45" fillId="0" borderId="0" xfId="0" applyNumberFormat="1" applyFont="1" applyBorder="1" applyAlignment="1" applyProtection="1">
      <alignment vertical="center"/>
      <protection hidden="1"/>
    </xf>
    <xf numFmtId="0" fontId="12" fillId="0" borderId="0" xfId="0" applyFont="1" applyBorder="1" applyAlignment="1" applyProtection="1">
      <alignment vertical="center"/>
      <protection hidden="1"/>
    </xf>
    <xf numFmtId="0" fontId="6" fillId="0" borderId="160" xfId="0" applyFont="1" applyFill="1" applyBorder="1" applyAlignment="1" applyProtection="1">
      <alignment horizontal="left" vertical="center"/>
      <protection hidden="1"/>
    </xf>
    <xf numFmtId="0" fontId="6" fillId="0" borderId="161" xfId="0" applyFont="1" applyFill="1" applyBorder="1" applyAlignment="1" applyProtection="1">
      <alignment horizontal="center" vertical="center"/>
      <protection hidden="1"/>
    </xf>
    <xf numFmtId="0" fontId="6" fillId="0" borderId="162" xfId="0" applyFont="1" applyFill="1" applyBorder="1" applyAlignment="1" applyProtection="1">
      <alignment horizontal="center" vertical="center"/>
      <protection hidden="1"/>
    </xf>
    <xf numFmtId="0" fontId="7" fillId="0" borderId="160" xfId="0" applyFont="1" applyFill="1" applyBorder="1" applyAlignment="1" applyProtection="1">
      <alignment horizontal="center" vertical="center"/>
      <protection hidden="1"/>
    </xf>
    <xf numFmtId="0" fontId="7" fillId="0" borderId="162" xfId="0" applyFont="1" applyFill="1" applyBorder="1" applyAlignment="1" applyProtection="1">
      <alignment horizontal="center" vertical="center"/>
      <protection hidden="1"/>
    </xf>
    <xf numFmtId="37" fontId="7" fillId="0" borderId="0" xfId="0" applyNumberFormat="1" applyFont="1" applyAlignment="1" applyProtection="1">
      <alignment vertical="center"/>
      <protection hidden="1"/>
    </xf>
    <xf numFmtId="3" fontId="0" fillId="0" borderId="0" xfId="0" applyNumberFormat="1" applyBorder="1" applyAlignment="1" applyProtection="1">
      <alignment vertical="center"/>
      <protection hidden="1"/>
    </xf>
    <xf numFmtId="3" fontId="7" fillId="0" borderId="0" xfId="0" applyNumberFormat="1" applyFont="1" applyAlignment="1" applyProtection="1">
      <alignment horizontal="center" vertical="center"/>
      <protection hidden="1"/>
    </xf>
    <xf numFmtId="3" fontId="0" fillId="0" borderId="0" xfId="0" applyNumberFormat="1" applyBorder="1" applyAlignment="1" applyProtection="1">
      <alignment horizontal="center"/>
      <protection hidden="1"/>
    </xf>
    <xf numFmtId="0" fontId="0" fillId="0" borderId="167" xfId="0" applyBorder="1" applyAlignment="1" applyProtection="1">
      <alignment vertical="center"/>
      <protection hidden="1"/>
    </xf>
    <xf numFmtId="0" fontId="0" fillId="0" borderId="167" xfId="0" applyBorder="1" applyProtection="1">
      <protection hidden="1"/>
    </xf>
    <xf numFmtId="0" fontId="0" fillId="0" borderId="64" xfId="0" applyBorder="1" applyAlignment="1" applyProtection="1">
      <alignment vertical="center"/>
      <protection hidden="1"/>
    </xf>
    <xf numFmtId="4" fontId="0" fillId="0" borderId="64" xfId="0" applyNumberFormat="1" applyBorder="1" applyAlignment="1" applyProtection="1">
      <alignment horizontal="center" vertical="center"/>
      <protection hidden="1"/>
    </xf>
    <xf numFmtId="3" fontId="0" fillId="0" borderId="64" xfId="0" applyNumberFormat="1" applyBorder="1" applyAlignment="1" applyProtection="1">
      <alignment horizontal="center" vertical="center"/>
      <protection hidden="1"/>
    </xf>
    <xf numFmtId="3" fontId="0" fillId="0" borderId="64" xfId="0" applyNumberFormat="1" applyBorder="1" applyAlignment="1" applyProtection="1">
      <alignment vertical="center"/>
      <protection hidden="1"/>
    </xf>
    <xf numFmtId="3" fontId="7" fillId="0" borderId="64" xfId="0" applyNumberFormat="1" applyFont="1" applyBorder="1" applyAlignment="1" applyProtection="1">
      <alignment horizontal="center" vertical="center"/>
      <protection hidden="1"/>
    </xf>
    <xf numFmtId="4" fontId="0" fillId="0" borderId="167" xfId="0" applyNumberFormat="1" applyBorder="1" applyAlignment="1" applyProtection="1">
      <alignment horizontal="center" vertical="center"/>
      <protection hidden="1"/>
    </xf>
    <xf numFmtId="0" fontId="0" fillId="0" borderId="64" xfId="0" applyBorder="1" applyAlignment="1" applyProtection="1">
      <alignment horizontal="center" vertical="center"/>
      <protection hidden="1"/>
    </xf>
    <xf numFmtId="4" fontId="0" fillId="0" borderId="64" xfId="0" applyNumberFormat="1" applyBorder="1" applyAlignment="1" applyProtection="1">
      <alignment horizontal="center"/>
      <protection hidden="1"/>
    </xf>
    <xf numFmtId="37" fontId="24" fillId="8" borderId="64" xfId="0" applyNumberFormat="1" applyFont="1" applyFill="1" applyBorder="1" applyAlignment="1" applyProtection="1">
      <alignment vertical="center"/>
      <protection hidden="1"/>
    </xf>
    <xf numFmtId="37" fontId="0" fillId="15" borderId="64" xfId="0" applyNumberFormat="1" applyFill="1" applyBorder="1" applyProtection="1">
      <protection hidden="1"/>
    </xf>
    <xf numFmtId="0" fontId="0" fillId="0" borderId="64" xfId="0" applyBorder="1" applyProtection="1">
      <protection hidden="1"/>
    </xf>
    <xf numFmtId="37" fontId="0" fillId="14" borderId="64" xfId="0" applyNumberFormat="1" applyFill="1" applyBorder="1" applyProtection="1">
      <protection hidden="1"/>
    </xf>
    <xf numFmtId="37" fontId="24" fillId="6" borderId="64" xfId="0" applyNumberFormat="1" applyFont="1" applyFill="1" applyBorder="1" applyAlignment="1" applyProtection="1">
      <alignment vertical="center"/>
      <protection hidden="1"/>
    </xf>
    <xf numFmtId="37" fontId="7" fillId="0" borderId="64" xfId="0" applyNumberFormat="1" applyFont="1" applyBorder="1" applyAlignment="1" applyProtection="1">
      <alignment vertical="center"/>
      <protection hidden="1"/>
    </xf>
    <xf numFmtId="164" fontId="19" fillId="0" borderId="170" xfId="0" applyNumberFormat="1" applyFont="1" applyBorder="1" applyAlignment="1" applyProtection="1">
      <alignment horizontal="center" vertical="center"/>
      <protection hidden="1"/>
    </xf>
    <xf numFmtId="164" fontId="19" fillId="0" borderId="171" xfId="0" applyNumberFormat="1" applyFont="1" applyBorder="1" applyAlignment="1" applyProtection="1">
      <alignment horizontal="center" vertical="center"/>
      <protection hidden="1"/>
    </xf>
    <xf numFmtId="164" fontId="19" fillId="0" borderId="37" xfId="0" applyNumberFormat="1" applyFont="1" applyBorder="1" applyAlignment="1" applyProtection="1">
      <alignment horizontal="center" vertical="center"/>
      <protection hidden="1"/>
    </xf>
    <xf numFmtId="164" fontId="19" fillId="0" borderId="172" xfId="0" applyNumberFormat="1" applyFont="1" applyBorder="1" applyAlignment="1" applyProtection="1">
      <alignment horizontal="center" vertical="center"/>
      <protection hidden="1"/>
    </xf>
    <xf numFmtId="0" fontId="7" fillId="8" borderId="0" xfId="0" applyFont="1" applyFill="1" applyAlignment="1" applyProtection="1">
      <alignment horizontal="center" vertical="center"/>
      <protection hidden="1"/>
    </xf>
    <xf numFmtId="3" fontId="0" fillId="0" borderId="0" xfId="0" applyNumberFormat="1" applyProtection="1">
      <protection hidden="1"/>
    </xf>
    <xf numFmtId="0" fontId="48" fillId="0" borderId="0" xfId="0" applyFont="1" applyAlignment="1" applyProtection="1">
      <alignment horizontal="center" vertical="center"/>
      <protection hidden="1"/>
    </xf>
    <xf numFmtId="0" fontId="49" fillId="0" borderId="0" xfId="0" applyFont="1" applyAlignment="1" applyProtection="1">
      <alignment vertical="center"/>
      <protection hidden="1"/>
    </xf>
    <xf numFmtId="1" fontId="24" fillId="6" borderId="0" xfId="0" applyNumberFormat="1" applyFont="1" applyFill="1" applyAlignment="1" applyProtection="1">
      <alignment horizontal="center"/>
      <protection hidden="1"/>
    </xf>
    <xf numFmtId="1" fontId="50" fillId="0" borderId="0" xfId="0" applyNumberFormat="1" applyFont="1" applyAlignment="1" applyProtection="1">
      <alignment horizontal="center" vertical="center"/>
      <protection hidden="1"/>
    </xf>
    <xf numFmtId="3" fontId="51" fillId="0" borderId="0" xfId="0" applyNumberFormat="1" applyFont="1" applyAlignment="1" applyProtection="1">
      <alignment vertical="center"/>
      <protection hidden="1"/>
    </xf>
    <xf numFmtId="37" fontId="51" fillId="0" borderId="11" xfId="0" applyNumberFormat="1" applyFont="1" applyBorder="1" applyAlignment="1" applyProtection="1">
      <alignment vertical="center"/>
      <protection hidden="1"/>
    </xf>
    <xf numFmtId="1" fontId="0" fillId="0" borderId="0" xfId="0" applyNumberFormat="1" applyBorder="1" applyAlignment="1" applyProtection="1">
      <alignment horizontal="center" vertical="center"/>
      <protection hidden="1"/>
    </xf>
    <xf numFmtId="37" fontId="51" fillId="0" borderId="0" xfId="0" applyNumberFormat="1" applyFont="1" applyBorder="1" applyAlignment="1" applyProtection="1">
      <alignment vertical="center"/>
      <protection hidden="1"/>
    </xf>
    <xf numFmtId="1" fontId="24" fillId="0" borderId="0" xfId="0" applyNumberFormat="1" applyFont="1" applyFill="1" applyAlignment="1" applyProtection="1">
      <alignment horizontal="center"/>
      <protection hidden="1"/>
    </xf>
    <xf numFmtId="1" fontId="50" fillId="0" borderId="0" xfId="0" applyNumberFormat="1" applyFont="1" applyFill="1" applyAlignment="1" applyProtection="1">
      <alignment horizontal="center" vertical="center"/>
      <protection hidden="1"/>
    </xf>
    <xf numFmtId="0" fontId="7" fillId="0" borderId="0" xfId="0" applyFont="1" applyFill="1" applyAlignment="1" applyProtection="1">
      <alignment horizontal="center" vertical="center"/>
      <protection hidden="1"/>
    </xf>
    <xf numFmtId="3" fontId="51" fillId="0" borderId="0" xfId="0" applyNumberFormat="1" applyFont="1" applyAlignment="1" applyProtection="1">
      <alignment horizontal="center" vertical="center"/>
      <protection hidden="1"/>
    </xf>
    <xf numFmtId="37" fontId="44" fillId="8" borderId="172" xfId="0" applyNumberFormat="1" applyFont="1" applyFill="1" applyBorder="1" applyAlignment="1" applyProtection="1">
      <alignment vertical="center"/>
      <protection hidden="1"/>
    </xf>
    <xf numFmtId="37" fontId="44" fillId="8" borderId="141" xfId="0" applyNumberFormat="1" applyFont="1" applyFill="1" applyBorder="1" applyAlignment="1" applyProtection="1">
      <alignment vertical="center"/>
      <protection hidden="1"/>
    </xf>
    <xf numFmtId="37" fontId="51" fillId="0" borderId="141" xfId="0" applyNumberFormat="1" applyFont="1" applyBorder="1" applyAlignment="1" applyProtection="1">
      <alignment vertical="center"/>
      <protection hidden="1"/>
    </xf>
    <xf numFmtId="0" fontId="1" fillId="0" borderId="0" xfId="0" applyFont="1" applyFill="1" applyAlignment="1" applyProtection="1">
      <alignment vertical="center"/>
      <protection hidden="1"/>
    </xf>
    <xf numFmtId="164" fontId="6" fillId="13" borderId="19" xfId="0" applyNumberFormat="1" applyFont="1" applyFill="1" applyBorder="1" applyProtection="1">
      <protection hidden="1"/>
    </xf>
    <xf numFmtId="164" fontId="6" fillId="13" borderId="17" xfId="0" applyNumberFormat="1" applyFont="1" applyFill="1" applyBorder="1" applyProtection="1">
      <protection hidden="1"/>
    </xf>
    <xf numFmtId="164" fontId="6" fillId="13" borderId="154" xfId="0" quotePrefix="1" applyNumberFormat="1" applyFont="1" applyFill="1" applyBorder="1" applyAlignment="1" applyProtection="1">
      <alignment horizontal="center"/>
      <protection hidden="1"/>
    </xf>
    <xf numFmtId="164" fontId="8" fillId="13" borderId="154" xfId="0" applyNumberFormat="1" applyFont="1" applyFill="1" applyBorder="1" applyAlignment="1" applyProtection="1">
      <alignment horizontal="center" vertical="center"/>
      <protection hidden="1"/>
    </xf>
    <xf numFmtId="164" fontId="8" fillId="0" borderId="16"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41" fontId="6" fillId="8" borderId="153" xfId="0" applyNumberFormat="1" applyFont="1" applyFill="1" applyBorder="1" applyAlignment="1" applyProtection="1">
      <alignment vertical="center"/>
      <protection hidden="1"/>
    </xf>
    <xf numFmtId="164" fontId="6" fillId="0" borderId="4" xfId="0" applyNumberFormat="1" applyFont="1" applyBorder="1" applyProtection="1">
      <protection hidden="1"/>
    </xf>
    <xf numFmtId="164" fontId="6" fillId="0" borderId="3"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Continuous" vertical="center"/>
      <protection hidden="1"/>
    </xf>
    <xf numFmtId="41" fontId="8" fillId="0" borderId="11" xfId="0" applyNumberFormat="1" applyFont="1" applyBorder="1" applyAlignment="1" applyProtection="1">
      <alignment vertical="center"/>
      <protection hidden="1"/>
    </xf>
    <xf numFmtId="164" fontId="6" fillId="0" borderId="3" xfId="0" applyNumberFormat="1" applyFont="1" applyBorder="1" applyAlignment="1" applyProtection="1">
      <alignment vertical="center"/>
      <protection hidden="1"/>
    </xf>
    <xf numFmtId="164" fontId="0" fillId="0" borderId="11" xfId="0" applyNumberFormat="1" applyBorder="1" applyProtection="1">
      <protection hidden="1"/>
    </xf>
    <xf numFmtId="41" fontId="6" fillId="0" borderId="153" xfId="0" applyNumberFormat="1" applyFont="1" applyBorder="1" applyAlignment="1" applyProtection="1">
      <alignment vertical="center"/>
      <protection hidden="1"/>
    </xf>
    <xf numFmtId="164" fontId="8" fillId="0" borderId="8" xfId="0" applyNumberFormat="1" applyFont="1" applyBorder="1" applyAlignment="1" applyProtection="1">
      <alignment vertical="center"/>
      <protection hidden="1"/>
    </xf>
    <xf numFmtId="164" fontId="0" fillId="0" borderId="2" xfId="0" applyNumberFormat="1" applyBorder="1" applyProtection="1">
      <protection hidden="1"/>
    </xf>
    <xf numFmtId="37" fontId="8" fillId="0" borderId="16" xfId="0" applyNumberFormat="1" applyFont="1" applyBorder="1" applyAlignment="1" applyProtection="1">
      <alignment vertical="center"/>
      <protection hidden="1"/>
    </xf>
    <xf numFmtId="37" fontId="8" fillId="0" borderId="11" xfId="0" applyNumberFormat="1" applyFont="1" applyBorder="1" applyAlignment="1" applyProtection="1">
      <alignment vertical="center"/>
      <protection hidden="1"/>
    </xf>
    <xf numFmtId="164" fontId="27" fillId="15" borderId="0" xfId="2" applyFont="1" applyFill="1" applyBorder="1" applyAlignment="1" applyProtection="1">
      <alignment vertical="center"/>
      <protection hidden="1"/>
    </xf>
    <xf numFmtId="37" fontId="8" fillId="0" borderId="141" xfId="0" applyNumberFormat="1" applyFont="1" applyBorder="1" applyAlignment="1" applyProtection="1">
      <alignment vertical="center"/>
      <protection hidden="1"/>
    </xf>
    <xf numFmtId="3" fontId="27" fillId="15" borderId="0" xfId="2" applyNumberFormat="1" applyFont="1" applyFill="1" applyBorder="1" applyAlignment="1" applyProtection="1">
      <alignment vertical="center"/>
      <protection hidden="1"/>
    </xf>
    <xf numFmtId="164" fontId="27" fillId="16" borderId="0" xfId="2" applyFont="1" applyFill="1" applyBorder="1" applyAlignment="1" applyProtection="1">
      <alignment vertical="center"/>
      <protection hidden="1"/>
    </xf>
    <xf numFmtId="37" fontId="1" fillId="0" borderId="11" xfId="0" applyNumberFormat="1" applyFont="1" applyBorder="1" applyAlignment="1" applyProtection="1">
      <alignment vertical="center"/>
      <protection hidden="1"/>
    </xf>
    <xf numFmtId="37" fontId="1" fillId="0" borderId="0" xfId="0" applyNumberFormat="1" applyFont="1" applyBorder="1" applyAlignment="1" applyProtection="1">
      <alignment vertical="center"/>
      <protection hidden="1"/>
    </xf>
    <xf numFmtId="37" fontId="8" fillId="0" borderId="11" xfId="0" applyNumberFormat="1" applyFont="1" applyBorder="1" applyAlignment="1" applyProtection="1">
      <alignment horizontal="right" vertical="center"/>
      <protection hidden="1"/>
    </xf>
    <xf numFmtId="37" fontId="8" fillId="0" borderId="141" xfId="0" applyNumberFormat="1" applyFont="1" applyBorder="1" applyAlignment="1" applyProtection="1">
      <alignment horizontal="right" vertical="center"/>
      <protection hidden="1"/>
    </xf>
    <xf numFmtId="37" fontId="8" fillId="0" borderId="8" xfId="0" applyNumberFormat="1" applyFont="1" applyBorder="1" applyAlignment="1" applyProtection="1">
      <alignment horizontal="right" vertical="center"/>
      <protection hidden="1"/>
    </xf>
    <xf numFmtId="37" fontId="8" fillId="0" borderId="174" xfId="0" applyNumberFormat="1" applyFont="1" applyBorder="1" applyAlignment="1" applyProtection="1">
      <alignment horizontal="right" vertical="center"/>
      <protection hidden="1"/>
    </xf>
    <xf numFmtId="164" fontId="6" fillId="0" borderId="0" xfId="0" applyNumberFormat="1" applyFont="1" applyBorder="1" applyAlignment="1" applyProtection="1">
      <alignment horizontal="right" vertical="center"/>
      <protection hidden="1"/>
    </xf>
    <xf numFmtId="37" fontId="6" fillId="0" borderId="11" xfId="0" applyNumberFormat="1" applyFont="1" applyBorder="1" applyAlignment="1" applyProtection="1">
      <alignment horizontal="right" vertical="center"/>
      <protection hidden="1"/>
    </xf>
    <xf numFmtId="37" fontId="8" fillId="0" borderId="12" xfId="0" applyNumberFormat="1" applyFont="1" applyBorder="1" applyAlignment="1" applyProtection="1">
      <alignment horizontal="right" vertical="center"/>
      <protection hidden="1"/>
    </xf>
    <xf numFmtId="37" fontId="8" fillId="0" borderId="175" xfId="0" applyNumberFormat="1" applyFont="1" applyBorder="1" applyAlignment="1" applyProtection="1">
      <alignment horizontal="right" vertical="center"/>
      <protection hidden="1"/>
    </xf>
    <xf numFmtId="164" fontId="0" fillId="0" borderId="40" xfId="0" applyNumberFormat="1" applyBorder="1" applyProtection="1">
      <protection hidden="1"/>
    </xf>
    <xf numFmtId="164" fontId="7" fillId="0" borderId="0" xfId="0" applyNumberFormat="1" applyFont="1" applyBorder="1" applyAlignment="1" applyProtection="1">
      <alignment horizontal="right"/>
      <protection hidden="1"/>
    </xf>
    <xf numFmtId="166" fontId="8" fillId="0" borderId="12" xfId="0" applyNumberFormat="1" applyFont="1" applyBorder="1" applyAlignment="1" applyProtection="1">
      <alignment horizontal="right" vertical="center"/>
      <protection hidden="1"/>
    </xf>
    <xf numFmtId="37" fontId="6" fillId="0" borderId="173" xfId="0" applyNumberFormat="1" applyFont="1" applyBorder="1" applyAlignment="1" applyProtection="1">
      <alignment horizontal="right" vertical="center"/>
      <protection hidden="1"/>
    </xf>
    <xf numFmtId="37" fontId="6" fillId="0" borderId="0" xfId="0" applyNumberFormat="1" applyFont="1" applyBorder="1" applyAlignment="1" applyProtection="1">
      <alignment horizontal="right" vertical="center"/>
      <protection hidden="1"/>
    </xf>
    <xf numFmtId="37" fontId="6" fillId="0" borderId="8" xfId="0" applyNumberFormat="1" applyFont="1" applyBorder="1" applyAlignment="1" applyProtection="1">
      <alignment horizontal="right" vertical="center"/>
      <protection hidden="1"/>
    </xf>
    <xf numFmtId="164" fontId="8" fillId="0" borderId="6" xfId="0" applyNumberFormat="1" applyFont="1" applyBorder="1" applyAlignment="1" applyProtection="1">
      <alignment horizontal="left" vertical="center"/>
      <protection hidden="1"/>
    </xf>
    <xf numFmtId="164" fontId="8" fillId="0" borderId="1" xfId="0" applyNumberFormat="1" applyFont="1" applyBorder="1" applyAlignment="1" applyProtection="1">
      <alignment horizontal="left" vertical="center"/>
      <protection hidden="1"/>
    </xf>
    <xf numFmtId="164" fontId="1" fillId="0" borderId="0" xfId="0" applyNumberFormat="1" applyFont="1" applyBorder="1" applyProtection="1">
      <protection hidden="1"/>
    </xf>
    <xf numFmtId="164" fontId="8" fillId="0" borderId="3" xfId="0" applyNumberFormat="1" applyFont="1" applyBorder="1" applyAlignment="1" applyProtection="1">
      <alignment horizontal="left" vertical="center"/>
      <protection hidden="1"/>
    </xf>
    <xf numFmtId="164" fontId="10" fillId="0" borderId="25" xfId="0" applyNumberFormat="1" applyFont="1" applyBorder="1" applyProtection="1">
      <protection hidden="1"/>
    </xf>
    <xf numFmtId="164" fontId="10" fillId="0" borderId="3" xfId="0" applyNumberFormat="1" applyFont="1" applyBorder="1" applyAlignment="1" applyProtection="1">
      <alignment vertical="center"/>
      <protection hidden="1"/>
    </xf>
    <xf numFmtId="3" fontId="44" fillId="0" borderId="0" xfId="0" applyNumberFormat="1" applyFont="1" applyBorder="1" applyAlignment="1" applyProtection="1">
      <alignment horizontal="center" vertical="center"/>
      <protection hidden="1"/>
    </xf>
    <xf numFmtId="3" fontId="7" fillId="5" borderId="0" xfId="0" applyNumberFormat="1" applyFont="1" applyFill="1" applyBorder="1" applyAlignment="1" applyProtection="1">
      <alignment vertical="center"/>
      <protection locked="0" hidden="1"/>
    </xf>
    <xf numFmtId="0" fontId="3" fillId="0" borderId="0" xfId="0" applyFont="1" applyFill="1" applyAlignment="1" applyProtection="1">
      <alignment horizontal="right" vertical="center"/>
      <protection hidden="1"/>
    </xf>
    <xf numFmtId="164" fontId="6" fillId="13" borderId="14" xfId="2" applyFont="1" applyFill="1" applyBorder="1" applyAlignment="1" applyProtection="1">
      <alignment horizontal="centerContinuous" vertical="center"/>
      <protection hidden="1"/>
    </xf>
    <xf numFmtId="164" fontId="20" fillId="13" borderId="2" xfId="2" applyFont="1" applyFill="1" applyBorder="1" applyAlignment="1" applyProtection="1">
      <alignment horizontal="centerContinuous" vertical="center"/>
      <protection hidden="1"/>
    </xf>
    <xf numFmtId="164" fontId="20" fillId="13" borderId="154" xfId="2" applyFont="1" applyFill="1" applyBorder="1" applyAlignment="1" applyProtection="1">
      <alignment horizontal="center" vertical="center" wrapText="1"/>
      <protection hidden="1"/>
    </xf>
    <xf numFmtId="164" fontId="20" fillId="13" borderId="15" xfId="2" applyFont="1" applyFill="1" applyBorder="1" applyAlignment="1" applyProtection="1">
      <alignment horizontal="center" vertical="center" wrapText="1"/>
      <protection hidden="1"/>
    </xf>
    <xf numFmtId="164" fontId="1" fillId="0" borderId="0" xfId="2" applyAlignment="1" applyProtection="1">
      <alignment vertical="center"/>
      <protection hidden="1"/>
    </xf>
    <xf numFmtId="164" fontId="1" fillId="0" borderId="0" xfId="2" applyProtection="1">
      <protection hidden="1"/>
    </xf>
    <xf numFmtId="164" fontId="1" fillId="13" borderId="19" xfId="2" applyFill="1" applyBorder="1" applyAlignment="1" applyProtection="1">
      <alignment vertical="center"/>
      <protection hidden="1"/>
    </xf>
    <xf numFmtId="164" fontId="6" fillId="13" borderId="18" xfId="2" applyFont="1" applyFill="1" applyBorder="1" applyAlignment="1" applyProtection="1">
      <alignment vertical="center"/>
      <protection hidden="1"/>
    </xf>
    <xf numFmtId="164" fontId="6" fillId="13" borderId="18" xfId="2" applyFont="1" applyFill="1" applyBorder="1" applyAlignment="1" applyProtection="1">
      <alignment horizontal="center" vertical="center"/>
      <protection hidden="1"/>
    </xf>
    <xf numFmtId="3" fontId="1" fillId="0" borderId="0" xfId="2" quotePrefix="1" applyNumberFormat="1" applyFill="1" applyAlignment="1" applyProtection="1">
      <alignment horizontal="right"/>
      <protection hidden="1"/>
    </xf>
    <xf numFmtId="164" fontId="1" fillId="0" borderId="4" xfId="2" applyBorder="1" applyAlignment="1" applyProtection="1">
      <alignment vertical="center"/>
      <protection hidden="1"/>
    </xf>
    <xf numFmtId="164" fontId="1" fillId="0" borderId="3" xfId="2" applyBorder="1" applyAlignment="1" applyProtection="1">
      <alignment vertical="center"/>
      <protection hidden="1"/>
    </xf>
    <xf numFmtId="164" fontId="6" fillId="0" borderId="3" xfId="2" applyFont="1" applyBorder="1" applyAlignment="1" applyProtection="1">
      <alignment vertical="center"/>
      <protection hidden="1"/>
    </xf>
    <xf numFmtId="4" fontId="1" fillId="0" borderId="11" xfId="2" applyNumberFormat="1" applyBorder="1" applyAlignment="1" applyProtection="1">
      <alignment vertical="center"/>
      <protection hidden="1"/>
    </xf>
    <xf numFmtId="164" fontId="8" fillId="0" borderId="3" xfId="2" applyFont="1" applyBorder="1" applyAlignment="1" applyProtection="1">
      <alignment vertical="center"/>
      <protection hidden="1"/>
    </xf>
    <xf numFmtId="37" fontId="8" fillId="0" borderId="3" xfId="2" applyNumberFormat="1" applyFont="1" applyBorder="1" applyAlignment="1" applyProtection="1">
      <alignment vertical="center"/>
      <protection hidden="1"/>
    </xf>
    <xf numFmtId="37" fontId="1" fillId="0" borderId="11" xfId="2" applyNumberFormat="1" applyBorder="1" applyAlignment="1" applyProtection="1">
      <alignment vertical="center"/>
      <protection hidden="1"/>
    </xf>
    <xf numFmtId="39" fontId="8" fillId="0" borderId="5" xfId="2" applyNumberFormat="1" applyFont="1" applyBorder="1" applyAlignment="1" applyProtection="1">
      <alignment vertical="center"/>
      <protection hidden="1"/>
    </xf>
    <xf numFmtId="164" fontId="6" fillId="0" borderId="4" xfId="2" applyFont="1" applyBorder="1" applyAlignment="1" applyProtection="1">
      <alignment vertical="center"/>
      <protection hidden="1"/>
    </xf>
    <xf numFmtId="37" fontId="7" fillId="0" borderId="13" xfId="2" quotePrefix="1" applyNumberFormat="1" applyFont="1" applyFill="1" applyBorder="1" applyAlignment="1" applyProtection="1">
      <alignment horizontal="right"/>
      <protection hidden="1"/>
    </xf>
    <xf numFmtId="37" fontId="7" fillId="0" borderId="90" xfId="2" quotePrefix="1" applyNumberFormat="1" applyFont="1" applyFill="1" applyBorder="1" applyAlignment="1" applyProtection="1">
      <alignment horizontal="right"/>
      <protection hidden="1"/>
    </xf>
    <xf numFmtId="0" fontId="1" fillId="0" borderId="0" xfId="2" applyNumberFormat="1" applyProtection="1">
      <protection hidden="1"/>
    </xf>
    <xf numFmtId="164" fontId="6" fillId="0" borderId="9" xfId="2" applyFont="1" applyBorder="1" applyAlignment="1" applyProtection="1">
      <alignment horizontal="centerContinuous" vertical="center"/>
      <protection hidden="1"/>
    </xf>
    <xf numFmtId="164" fontId="6" fillId="0" borderId="153" xfId="2" applyFont="1" applyBorder="1" applyAlignment="1" applyProtection="1">
      <alignment horizontal="centerContinuous" vertical="center"/>
      <protection hidden="1"/>
    </xf>
    <xf numFmtId="164" fontId="6" fillId="0" borderId="153" xfId="2" applyFont="1" applyBorder="1" applyAlignment="1" applyProtection="1">
      <alignment vertical="center"/>
      <protection hidden="1"/>
    </xf>
    <xf numFmtId="3" fontId="1" fillId="0" borderId="11" xfId="2" applyNumberFormat="1" applyBorder="1" applyAlignment="1" applyProtection="1">
      <alignment vertical="center"/>
      <protection hidden="1"/>
    </xf>
    <xf numFmtId="2" fontId="1" fillId="0" borderId="0" xfId="2" applyNumberFormat="1" applyProtection="1">
      <protection hidden="1"/>
    </xf>
    <xf numFmtId="164" fontId="43" fillId="0" borderId="0" xfId="2" applyFont="1" applyFill="1" applyBorder="1" applyAlignment="1" applyProtection="1">
      <alignment horizontal="center" vertical="center"/>
      <protection hidden="1"/>
    </xf>
    <xf numFmtId="37" fontId="8" fillId="0" borderId="5" xfId="2" applyNumberFormat="1" applyFont="1" applyBorder="1" applyAlignment="1" applyProtection="1">
      <alignment vertical="center"/>
      <protection hidden="1"/>
    </xf>
    <xf numFmtId="3" fontId="1" fillId="0" borderId="40" xfId="2" applyNumberFormat="1" applyBorder="1" applyAlignment="1" applyProtection="1">
      <alignment vertical="center"/>
      <protection hidden="1"/>
    </xf>
    <xf numFmtId="37" fontId="6" fillId="0" borderId="3" xfId="2" applyNumberFormat="1" applyFont="1" applyBorder="1" applyAlignment="1" applyProtection="1">
      <alignment vertical="center"/>
      <protection hidden="1"/>
    </xf>
    <xf numFmtId="164" fontId="8" fillId="0" borderId="4" xfId="2" applyFont="1" applyBorder="1" applyAlignment="1" applyProtection="1">
      <alignment vertical="center"/>
      <protection hidden="1"/>
    </xf>
    <xf numFmtId="166" fontId="8" fillId="0" borderId="5" xfId="2" applyNumberFormat="1" applyFont="1" applyBorder="1" applyAlignment="1" applyProtection="1">
      <alignment vertical="center"/>
      <protection hidden="1"/>
    </xf>
    <xf numFmtId="164" fontId="6" fillId="0" borderId="6" xfId="2" applyFont="1" applyBorder="1" applyAlignment="1" applyProtection="1">
      <alignment vertical="center"/>
      <protection hidden="1"/>
    </xf>
    <xf numFmtId="164" fontId="1" fillId="0" borderId="7" xfId="2" applyBorder="1" applyAlignment="1" applyProtection="1">
      <alignment vertical="center"/>
      <protection hidden="1"/>
    </xf>
    <xf numFmtId="37" fontId="6" fillId="0" borderId="7" xfId="2" applyNumberFormat="1" applyFont="1" applyBorder="1" applyAlignment="1" applyProtection="1">
      <alignment vertical="center"/>
      <protection hidden="1"/>
    </xf>
    <xf numFmtId="164" fontId="20" fillId="13" borderId="19" xfId="2" applyFont="1" applyFill="1" applyBorder="1" applyAlignment="1" applyProtection="1">
      <alignment horizontal="center" vertical="center" wrapText="1"/>
      <protection hidden="1"/>
    </xf>
    <xf numFmtId="164" fontId="20" fillId="13" borderId="168" xfId="2" applyFont="1" applyFill="1" applyBorder="1" applyAlignment="1" applyProtection="1">
      <alignment horizontal="center" vertical="center" wrapText="1"/>
      <protection hidden="1"/>
    </xf>
    <xf numFmtId="164" fontId="19" fillId="13" borderId="154" xfId="2" applyFont="1" applyFill="1" applyBorder="1" applyAlignment="1" applyProtection="1">
      <alignment horizontal="center" vertical="center" wrapText="1"/>
      <protection hidden="1"/>
    </xf>
    <xf numFmtId="164" fontId="44" fillId="8" borderId="3" xfId="2" applyFont="1" applyFill="1" applyBorder="1" applyAlignment="1" applyProtection="1">
      <alignment vertical="center"/>
      <protection hidden="1"/>
    </xf>
    <xf numFmtId="164" fontId="27" fillId="15" borderId="3" xfId="2" applyFont="1" applyFill="1" applyBorder="1" applyAlignment="1" applyProtection="1">
      <alignment vertical="center"/>
      <protection hidden="1"/>
    </xf>
    <xf numFmtId="164" fontId="27" fillId="16" borderId="3" xfId="2" applyFont="1" applyFill="1" applyBorder="1" applyAlignment="1" applyProtection="1">
      <alignment vertical="center"/>
      <protection hidden="1"/>
    </xf>
    <xf numFmtId="164" fontId="44" fillId="6" borderId="3" xfId="2" applyFont="1" applyFill="1" applyBorder="1" applyAlignment="1" applyProtection="1">
      <alignment vertical="center"/>
      <protection hidden="1"/>
    </xf>
    <xf numFmtId="0" fontId="6" fillId="13" borderId="14" xfId="4" applyFont="1" applyFill="1" applyBorder="1" applyAlignment="1" applyProtection="1">
      <alignment horizontal="centerContinuous"/>
      <protection hidden="1"/>
    </xf>
    <xf numFmtId="0" fontId="6" fillId="13" borderId="2" xfId="4" applyFont="1" applyFill="1" applyBorder="1" applyAlignment="1" applyProtection="1">
      <alignment horizontal="center" vertical="center"/>
      <protection hidden="1"/>
    </xf>
    <xf numFmtId="0" fontId="3" fillId="13" borderId="154" xfId="4" applyFont="1" applyFill="1" applyBorder="1" applyAlignment="1" applyProtection="1">
      <alignment horizontal="center" vertical="center" wrapText="1"/>
      <protection hidden="1"/>
    </xf>
    <xf numFmtId="0" fontId="3" fillId="13" borderId="15" xfId="4" applyFont="1" applyFill="1" applyBorder="1" applyAlignment="1" applyProtection="1">
      <alignment horizontal="center" vertical="center" wrapText="1"/>
      <protection hidden="1"/>
    </xf>
    <xf numFmtId="0" fontId="1" fillId="13" borderId="19" xfId="4" applyFill="1" applyBorder="1" applyAlignment="1" applyProtection="1">
      <alignment vertical="center"/>
      <protection hidden="1"/>
    </xf>
    <xf numFmtId="0" fontId="6" fillId="13" borderId="18" xfId="4" applyFont="1" applyFill="1" applyBorder="1" applyAlignment="1" applyProtection="1">
      <alignment vertical="center"/>
      <protection hidden="1"/>
    </xf>
    <xf numFmtId="0" fontId="7" fillId="13" borderId="18" xfId="4" applyFont="1" applyFill="1" applyBorder="1" applyAlignment="1" applyProtection="1">
      <alignment horizontal="center" vertical="center"/>
      <protection hidden="1"/>
    </xf>
    <xf numFmtId="0" fontId="1" fillId="0" borderId="4" xfId="4" applyBorder="1" applyAlignment="1" applyProtection="1">
      <alignment vertical="center"/>
      <protection hidden="1"/>
    </xf>
    <xf numFmtId="0" fontId="1" fillId="0" borderId="3" xfId="4" applyBorder="1" applyAlignment="1" applyProtection="1">
      <alignment vertical="center"/>
      <protection hidden="1"/>
    </xf>
    <xf numFmtId="0" fontId="7" fillId="0" borderId="3" xfId="4" applyFont="1" applyBorder="1" applyAlignment="1" applyProtection="1">
      <alignment horizontal="center" vertical="center"/>
      <protection hidden="1"/>
    </xf>
    <xf numFmtId="0" fontId="8" fillId="0" borderId="3" xfId="4" applyFont="1" applyBorder="1" applyAlignment="1" applyProtection="1">
      <alignment vertical="center"/>
      <protection hidden="1"/>
    </xf>
    <xf numFmtId="37" fontId="1" fillId="0" borderId="3" xfId="4" applyNumberFormat="1" applyBorder="1" applyAlignment="1" applyProtection="1">
      <alignment vertical="center"/>
      <protection hidden="1"/>
    </xf>
    <xf numFmtId="165" fontId="1" fillId="0" borderId="5" xfId="4" applyNumberFormat="1" applyFont="1" applyBorder="1" applyAlignment="1" applyProtection="1">
      <alignment vertical="center"/>
      <protection hidden="1"/>
    </xf>
    <xf numFmtId="0" fontId="6" fillId="0" borderId="4" xfId="4" applyFont="1" applyBorder="1" applyAlignment="1" applyProtection="1">
      <alignment vertical="center"/>
      <protection hidden="1"/>
    </xf>
    <xf numFmtId="0" fontId="6" fillId="0" borderId="3" xfId="4" applyFont="1" applyBorder="1" applyAlignment="1" applyProtection="1">
      <alignment vertical="center"/>
      <protection hidden="1"/>
    </xf>
    <xf numFmtId="3" fontId="7" fillId="0" borderId="90" xfId="4" quotePrefix="1" applyNumberFormat="1" applyFont="1" applyBorder="1" applyAlignment="1" applyProtection="1">
      <alignment horizontal="right"/>
      <protection hidden="1"/>
    </xf>
    <xf numFmtId="0" fontId="3" fillId="13" borderId="19" xfId="4" applyFont="1" applyFill="1" applyBorder="1" applyAlignment="1" applyProtection="1">
      <alignment horizontal="center" vertical="center" wrapText="1"/>
      <protection hidden="1"/>
    </xf>
    <xf numFmtId="0" fontId="3" fillId="13" borderId="168" xfId="4" applyFont="1" applyFill="1" applyBorder="1" applyAlignment="1" applyProtection="1">
      <alignment horizontal="center" vertical="center" wrapText="1"/>
      <protection hidden="1"/>
    </xf>
    <xf numFmtId="0" fontId="15" fillId="13" borderId="154" xfId="4" applyFont="1" applyFill="1" applyBorder="1" applyAlignment="1" applyProtection="1">
      <alignment horizontal="center" vertical="center" wrapText="1"/>
      <protection hidden="1"/>
    </xf>
    <xf numFmtId="0" fontId="6" fillId="0" borderId="9" xfId="4" applyFont="1" applyBorder="1" applyAlignment="1" applyProtection="1">
      <alignment horizontal="centerContinuous" vertical="center"/>
      <protection hidden="1"/>
    </xf>
    <xf numFmtId="0" fontId="6" fillId="0" borderId="153" xfId="4" applyFont="1" applyBorder="1" applyAlignment="1" applyProtection="1">
      <alignment horizontal="centerContinuous" vertical="center"/>
      <protection hidden="1"/>
    </xf>
    <xf numFmtId="0" fontId="7" fillId="0" borderId="153" xfId="4" applyFont="1" applyBorder="1" applyAlignment="1" applyProtection="1">
      <alignment horizontal="center" vertical="center"/>
      <protection hidden="1"/>
    </xf>
    <xf numFmtId="0" fontId="44" fillId="8" borderId="3" xfId="4" applyFont="1" applyFill="1" applyBorder="1" applyAlignment="1" applyProtection="1">
      <alignment vertical="center"/>
      <protection hidden="1"/>
    </xf>
    <xf numFmtId="37" fontId="1" fillId="0" borderId="3" xfId="4" applyNumberFormat="1" applyFont="1" applyBorder="1" applyAlignment="1" applyProtection="1">
      <alignment vertical="center"/>
      <protection hidden="1"/>
    </xf>
    <xf numFmtId="3" fontId="44" fillId="8" borderId="0" xfId="4" applyNumberFormat="1" applyFont="1" applyFill="1" applyBorder="1" applyAlignment="1" applyProtection="1">
      <alignment horizontal="center" vertical="center"/>
      <protection hidden="1"/>
    </xf>
    <xf numFmtId="3" fontId="44" fillId="8" borderId="64" xfId="4" applyNumberFormat="1" applyFont="1" applyFill="1" applyBorder="1" applyAlignment="1" applyProtection="1">
      <alignment horizontal="center" vertical="center"/>
      <protection hidden="1"/>
    </xf>
    <xf numFmtId="3" fontId="27" fillId="15" borderId="0" xfId="2" applyNumberFormat="1" applyFont="1" applyFill="1" applyBorder="1" applyAlignment="1" applyProtection="1">
      <alignment horizontal="center" vertical="center"/>
      <protection hidden="1"/>
    </xf>
    <xf numFmtId="3" fontId="27" fillId="15" borderId="64" xfId="2" applyNumberFormat="1" applyFont="1" applyFill="1" applyBorder="1" applyAlignment="1" applyProtection="1">
      <alignment horizontal="center" vertical="center"/>
      <protection hidden="1"/>
    </xf>
    <xf numFmtId="3" fontId="27" fillId="16" borderId="0" xfId="2" applyNumberFormat="1" applyFont="1" applyFill="1" applyBorder="1" applyAlignment="1" applyProtection="1">
      <alignment horizontal="center" vertical="center"/>
      <protection hidden="1"/>
    </xf>
    <xf numFmtId="3" fontId="27" fillId="16" borderId="64" xfId="2" applyNumberFormat="1" applyFont="1" applyFill="1" applyBorder="1" applyAlignment="1" applyProtection="1">
      <alignment horizontal="center" vertical="center"/>
      <protection hidden="1"/>
    </xf>
    <xf numFmtId="3" fontId="44" fillId="6" borderId="0" xfId="2" applyNumberFormat="1" applyFont="1" applyFill="1" applyBorder="1" applyAlignment="1" applyProtection="1">
      <alignment horizontal="center" vertical="center"/>
      <protection hidden="1"/>
    </xf>
    <xf numFmtId="3" fontId="44" fillId="6" borderId="64" xfId="2" applyNumberFormat="1" applyFont="1" applyFill="1" applyBorder="1" applyAlignment="1" applyProtection="1">
      <alignment horizontal="center" vertical="center"/>
      <protection hidden="1"/>
    </xf>
    <xf numFmtId="37" fontId="1" fillId="0" borderId="5" xfId="4" applyNumberFormat="1" applyFont="1" applyBorder="1" applyAlignment="1" applyProtection="1">
      <alignment vertical="center"/>
      <protection hidden="1"/>
    </xf>
    <xf numFmtId="37" fontId="7" fillId="0" borderId="3" xfId="4" applyNumberFormat="1" applyFont="1" applyBorder="1" applyAlignment="1" applyProtection="1">
      <alignment vertical="center"/>
      <protection hidden="1"/>
    </xf>
    <xf numFmtId="0" fontId="8" fillId="0" borderId="4" xfId="4" applyFont="1" applyBorder="1" applyAlignment="1" applyProtection="1">
      <alignment vertical="center"/>
      <protection hidden="1"/>
    </xf>
    <xf numFmtId="165" fontId="8" fillId="0" borderId="5" xfId="4" applyNumberFormat="1" applyFont="1" applyBorder="1" applyAlignment="1" applyProtection="1">
      <alignment vertical="center"/>
      <protection hidden="1"/>
    </xf>
    <xf numFmtId="0" fontId="6" fillId="0" borderId="6" xfId="4" applyFont="1" applyBorder="1" applyAlignment="1" applyProtection="1">
      <alignment vertical="center"/>
      <protection hidden="1"/>
    </xf>
    <xf numFmtId="0" fontId="1" fillId="0" borderId="7" xfId="4" applyBorder="1" applyAlignment="1" applyProtection="1">
      <alignment vertical="center"/>
      <protection hidden="1"/>
    </xf>
    <xf numFmtId="37" fontId="7" fillId="0" borderId="7" xfId="4" applyNumberFormat="1" applyFont="1" applyBorder="1" applyAlignment="1" applyProtection="1">
      <alignment vertical="center"/>
      <protection hidden="1"/>
    </xf>
    <xf numFmtId="164" fontId="6" fillId="13" borderId="14" xfId="0" applyNumberFormat="1" applyFont="1" applyFill="1" applyBorder="1" applyAlignment="1" applyProtection="1">
      <alignment horizontal="center" vertical="center"/>
      <protection hidden="1"/>
    </xf>
    <xf numFmtId="164" fontId="6" fillId="13" borderId="2" xfId="0" applyNumberFormat="1" applyFont="1" applyFill="1" applyBorder="1" applyAlignment="1" applyProtection="1">
      <alignment horizontal="centerContinuous" vertical="center"/>
      <protection hidden="1"/>
    </xf>
    <xf numFmtId="164" fontId="6" fillId="13" borderId="16" xfId="0" applyNumberFormat="1" applyFont="1" applyFill="1" applyBorder="1" applyAlignment="1" applyProtection="1">
      <alignment horizontal="center" vertical="center"/>
      <protection hidden="1"/>
    </xf>
    <xf numFmtId="164" fontId="6" fillId="13" borderId="15" xfId="0" applyNumberFormat="1" applyFont="1" applyFill="1" applyBorder="1" applyAlignment="1" applyProtection="1">
      <alignment horizontal="center" vertical="center"/>
      <protection hidden="1"/>
    </xf>
    <xf numFmtId="164" fontId="0" fillId="13" borderId="19" xfId="0" applyNumberFormat="1" applyFill="1" applyBorder="1" applyAlignment="1" applyProtection="1">
      <alignment vertical="center"/>
      <protection hidden="1"/>
    </xf>
    <xf numFmtId="164" fontId="6" fillId="13" borderId="18" xfId="0" applyNumberFormat="1" applyFont="1" applyFill="1" applyBorder="1" applyAlignment="1" applyProtection="1">
      <alignment vertical="center"/>
      <protection hidden="1"/>
    </xf>
    <xf numFmtId="164" fontId="6" fillId="13" borderId="18" xfId="0" applyNumberFormat="1" applyFont="1" applyFill="1" applyBorder="1" applyAlignment="1" applyProtection="1">
      <alignment horizontal="centerContinuous"/>
      <protection hidden="1"/>
    </xf>
    <xf numFmtId="164" fontId="6" fillId="0" borderId="4" xfId="0" applyNumberFormat="1" applyFont="1" applyBorder="1" applyAlignment="1" applyProtection="1">
      <alignment horizontal="left"/>
      <protection hidden="1"/>
    </xf>
    <xf numFmtId="164" fontId="6" fillId="0" borderId="3" xfId="0" applyNumberFormat="1" applyFont="1" applyBorder="1" applyAlignment="1" applyProtection="1">
      <alignment horizontal="centerContinuous"/>
      <protection hidden="1"/>
    </xf>
    <xf numFmtId="164" fontId="22" fillId="0" borderId="3" xfId="0" applyNumberFormat="1" applyFont="1" applyBorder="1" applyAlignment="1" applyProtection="1">
      <alignment horizontal="centerContinuous"/>
      <protection hidden="1"/>
    </xf>
    <xf numFmtId="37" fontId="8" fillId="0" borderId="3" xfId="0" applyNumberFormat="1" applyFont="1" applyBorder="1" applyAlignment="1" applyProtection="1">
      <alignment horizontal="right" vertical="center"/>
      <protection hidden="1"/>
    </xf>
    <xf numFmtId="37" fontId="8" fillId="17" borderId="3" xfId="0" applyNumberFormat="1" applyFont="1" applyFill="1" applyBorder="1" applyAlignment="1" applyProtection="1">
      <alignment horizontal="right" vertical="center"/>
      <protection hidden="1"/>
    </xf>
    <xf numFmtId="37" fontId="8" fillId="0" borderId="3" xfId="0" applyNumberFormat="1" applyFont="1" applyFill="1" applyBorder="1" applyAlignment="1" applyProtection="1">
      <alignment horizontal="right" vertical="center"/>
      <protection hidden="1"/>
    </xf>
    <xf numFmtId="38" fontId="7" fillId="0" borderId="0" xfId="0" quotePrefix="1" applyNumberFormat="1" applyFont="1" applyAlignment="1" applyProtection="1">
      <alignment horizontal="right"/>
      <protection hidden="1"/>
    </xf>
    <xf numFmtId="38" fontId="7" fillId="0" borderId="12" xfId="0" quotePrefix="1" applyNumberFormat="1" applyFont="1" applyBorder="1" applyAlignment="1" applyProtection="1">
      <alignment horizontal="right"/>
      <protection hidden="1"/>
    </xf>
    <xf numFmtId="164" fontId="6" fillId="13" borderId="165" xfId="0" applyNumberFormat="1" applyFont="1" applyFill="1" applyBorder="1" applyAlignment="1" applyProtection="1">
      <alignment horizontal="center" vertical="center"/>
      <protection hidden="1"/>
    </xf>
    <xf numFmtId="164" fontId="6" fillId="13" borderId="166" xfId="0" applyNumberFormat="1" applyFont="1" applyFill="1" applyBorder="1" applyAlignment="1" applyProtection="1">
      <alignment horizontal="center" vertical="center"/>
      <protection hidden="1"/>
    </xf>
    <xf numFmtId="164" fontId="6" fillId="13" borderId="97" xfId="0" applyNumberFormat="1" applyFont="1" applyFill="1" applyBorder="1" applyAlignment="1" applyProtection="1">
      <alignment horizontal="center" vertical="center"/>
      <protection hidden="1"/>
    </xf>
    <xf numFmtId="164" fontId="6" fillId="13" borderId="95" xfId="0" applyNumberFormat="1" applyFont="1" applyFill="1" applyBorder="1" applyAlignment="1" applyProtection="1">
      <alignment horizontal="center" vertical="center"/>
      <protection hidden="1"/>
    </xf>
    <xf numFmtId="164" fontId="6" fillId="13" borderId="169" xfId="0" applyNumberFormat="1" applyFont="1" applyFill="1" applyBorder="1" applyAlignment="1" applyProtection="1">
      <alignment horizontal="center" vertical="center"/>
      <protection hidden="1"/>
    </xf>
    <xf numFmtId="164" fontId="20" fillId="13" borderId="95" xfId="0" applyNumberFormat="1" applyFont="1" applyFill="1" applyBorder="1" applyAlignment="1" applyProtection="1">
      <alignment horizontal="center" vertical="center"/>
      <protection hidden="1"/>
    </xf>
    <xf numFmtId="164" fontId="0" fillId="0" borderId="9" xfId="0" applyNumberFormat="1" applyBorder="1" applyProtection="1">
      <protection hidden="1"/>
    </xf>
    <xf numFmtId="164" fontId="6" fillId="0" borderId="153" xfId="0" applyNumberFormat="1" applyFont="1" applyBorder="1" applyAlignment="1" applyProtection="1">
      <alignment horizontal="center" vertical="center"/>
      <protection hidden="1"/>
    </xf>
    <xf numFmtId="164" fontId="8" fillId="0" borderId="153" xfId="0" applyNumberFormat="1" applyFont="1" applyBorder="1" applyAlignment="1" applyProtection="1">
      <alignment horizontal="centerContinuous" vertical="center"/>
      <protection hidden="1"/>
    </xf>
    <xf numFmtId="3" fontId="44" fillId="8" borderId="0" xfId="2" applyNumberFormat="1" applyFont="1" applyFill="1" applyBorder="1" applyAlignment="1" applyProtection="1">
      <alignment horizontal="center" vertical="center"/>
      <protection hidden="1"/>
    </xf>
    <xf numFmtId="37" fontId="8" fillId="0" borderId="5" xfId="0" applyNumberFormat="1" applyFont="1" applyBorder="1" applyAlignment="1" applyProtection="1">
      <alignment horizontal="right" vertical="center"/>
      <protection hidden="1"/>
    </xf>
    <xf numFmtId="37" fontId="6" fillId="0" borderId="3" xfId="0" applyNumberFormat="1" applyFont="1" applyBorder="1" applyAlignment="1" applyProtection="1">
      <alignment horizontal="right" vertical="center"/>
      <protection hidden="1"/>
    </xf>
    <xf numFmtId="39" fontId="22" fillId="0" borderId="3" xfId="0" applyNumberFormat="1" applyFont="1" applyBorder="1" applyAlignment="1" applyProtection="1">
      <alignment horizontal="right" vertical="center"/>
      <protection hidden="1"/>
    </xf>
    <xf numFmtId="164" fontId="6" fillId="0" borderId="6" xfId="0" applyNumberFormat="1" applyFont="1" applyBorder="1" applyProtection="1">
      <protection hidden="1"/>
    </xf>
    <xf numFmtId="37" fontId="7" fillId="0" borderId="7" xfId="0" applyNumberFormat="1" applyFont="1" applyBorder="1" applyAlignment="1" applyProtection="1">
      <alignment vertical="center"/>
      <protection hidden="1"/>
    </xf>
    <xf numFmtId="37" fontId="7" fillId="0" borderId="7" xfId="0" applyNumberFormat="1" applyFont="1" applyFill="1" applyBorder="1" applyAlignment="1" applyProtection="1">
      <alignment vertical="center"/>
      <protection hidden="1"/>
    </xf>
    <xf numFmtId="0" fontId="44" fillId="0" borderId="0" xfId="0" applyFont="1" applyAlignment="1" applyProtection="1">
      <alignment horizontal="center" vertical="center"/>
      <protection hidden="1"/>
    </xf>
    <xf numFmtId="0" fontId="15" fillId="0" borderId="0" xfId="0" applyFont="1" applyAlignment="1" applyProtection="1">
      <alignment horizontal="left" vertical="center" indent="1"/>
      <protection hidden="1"/>
    </xf>
    <xf numFmtId="0" fontId="15" fillId="0" borderId="0" xfId="0" applyFont="1" applyFill="1" applyAlignment="1" applyProtection="1">
      <alignment horizontal="left" vertical="center" indent="1"/>
      <protection hidden="1"/>
    </xf>
    <xf numFmtId="0" fontId="7" fillId="0" borderId="0" xfId="0" applyFont="1" applyFill="1" applyAlignment="1" applyProtection="1">
      <alignment vertical="center"/>
      <protection hidden="1"/>
    </xf>
    <xf numFmtId="0" fontId="45" fillId="0" borderId="0" xfId="0" applyFont="1" applyAlignment="1" applyProtection="1">
      <alignment vertical="center"/>
      <protection hidden="1"/>
    </xf>
    <xf numFmtId="37" fontId="45" fillId="0" borderId="0" xfId="0" applyNumberFormat="1" applyFont="1" applyAlignment="1" applyProtection="1">
      <alignment vertical="center"/>
      <protection hidden="1"/>
    </xf>
    <xf numFmtId="2" fontId="44" fillId="0" borderId="0" xfId="0" applyNumberFormat="1" applyFont="1" applyAlignment="1" applyProtection="1">
      <alignment horizontal="center" vertical="center"/>
      <protection hidden="1"/>
    </xf>
    <xf numFmtId="0" fontId="44" fillId="0" borderId="0" xfId="0" applyFont="1" applyAlignment="1" applyProtection="1">
      <alignment vertical="center"/>
      <protection hidden="1"/>
    </xf>
    <xf numFmtId="0" fontId="7" fillId="0" borderId="0" xfId="0" applyFont="1" applyBorder="1" applyAlignment="1" applyProtection="1">
      <alignment vertical="center"/>
      <protection hidden="1"/>
    </xf>
    <xf numFmtId="37" fontId="46" fillId="8" borderId="177" xfId="0" applyNumberFormat="1" applyFont="1" applyFill="1" applyBorder="1" applyAlignment="1" applyProtection="1">
      <alignment vertical="center"/>
      <protection hidden="1"/>
    </xf>
    <xf numFmtId="37" fontId="46" fillId="8" borderId="178" xfId="0" applyNumberFormat="1" applyFont="1" applyFill="1" applyBorder="1" applyAlignment="1" applyProtection="1">
      <alignment vertical="center"/>
      <protection hidden="1"/>
    </xf>
    <xf numFmtId="164" fontId="47" fillId="15" borderId="178" xfId="2" applyFont="1" applyFill="1" applyBorder="1" applyAlignment="1" applyProtection="1">
      <alignment vertical="center"/>
      <protection hidden="1"/>
    </xf>
    <xf numFmtId="164" fontId="47" fillId="16" borderId="178" xfId="2" applyFont="1" applyFill="1" applyBorder="1" applyAlignment="1" applyProtection="1">
      <alignment vertical="center"/>
      <protection hidden="1"/>
    </xf>
    <xf numFmtId="164" fontId="46" fillId="6" borderId="178" xfId="0" applyNumberFormat="1" applyFont="1" applyFill="1" applyBorder="1" applyAlignment="1" applyProtection="1">
      <alignment vertical="center"/>
      <protection hidden="1"/>
    </xf>
    <xf numFmtId="164" fontId="46" fillId="6" borderId="28" xfId="0" applyNumberFormat="1" applyFont="1" applyFill="1" applyBorder="1" applyAlignment="1" applyProtection="1">
      <alignment vertical="center"/>
      <protection hidden="1"/>
    </xf>
    <xf numFmtId="37" fontId="1" fillId="5" borderId="179" xfId="0" applyNumberFormat="1" applyFont="1" applyFill="1" applyBorder="1" applyAlignment="1" applyProtection="1">
      <alignment vertical="center"/>
      <protection locked="0" hidden="1"/>
    </xf>
    <xf numFmtId="37" fontId="0" fillId="5" borderId="180" xfId="0" applyNumberFormat="1" applyFill="1" applyBorder="1" applyAlignment="1" applyProtection="1">
      <alignment vertical="center"/>
      <protection locked="0" hidden="1"/>
    </xf>
    <xf numFmtId="37" fontId="0" fillId="5" borderId="181" xfId="0" applyNumberFormat="1" applyFill="1" applyBorder="1" applyAlignment="1" applyProtection="1">
      <alignment vertical="center"/>
      <protection locked="0" hidden="1"/>
    </xf>
    <xf numFmtId="164" fontId="46" fillId="6" borderId="176" xfId="0" applyNumberFormat="1" applyFont="1" applyFill="1" applyBorder="1" applyAlignment="1" applyProtection="1">
      <alignment vertical="center"/>
      <protection hidden="1"/>
    </xf>
    <xf numFmtId="37" fontId="0" fillId="5" borderId="176" xfId="0" applyNumberFormat="1" applyFill="1" applyBorder="1" applyAlignment="1" applyProtection="1">
      <alignment vertical="center"/>
      <protection locked="0" hidden="1"/>
    </xf>
    <xf numFmtId="37" fontId="8" fillId="5" borderId="176" xfId="0" applyNumberFormat="1" applyFont="1" applyFill="1" applyBorder="1" applyAlignment="1" applyProtection="1">
      <alignment vertical="center"/>
      <protection locked="0" hidden="1"/>
    </xf>
    <xf numFmtId="37" fontId="8" fillId="0" borderId="176" xfId="0" applyNumberFormat="1" applyFont="1" applyBorder="1" applyAlignment="1" applyProtection="1">
      <alignment vertical="center"/>
      <protection hidden="1"/>
    </xf>
    <xf numFmtId="37" fontId="8" fillId="5" borderId="182" xfId="0" applyNumberFormat="1" applyFont="1" applyFill="1" applyBorder="1" applyAlignment="1" applyProtection="1">
      <alignment vertical="center"/>
      <protection locked="0" hidden="1"/>
    </xf>
    <xf numFmtId="37" fontId="8" fillId="5" borderId="80" xfId="0" applyNumberFormat="1" applyFont="1" applyFill="1" applyBorder="1" applyAlignment="1" applyProtection="1">
      <alignment vertical="center"/>
      <protection locked="0" hidden="1"/>
    </xf>
    <xf numFmtId="37" fontId="8" fillId="5" borderId="82" xfId="0" applyNumberFormat="1" applyFont="1" applyFill="1" applyBorder="1" applyAlignment="1" applyProtection="1">
      <alignment vertical="center"/>
      <protection locked="0" hidden="1"/>
    </xf>
    <xf numFmtId="37" fontId="8" fillId="0" borderId="179" xfId="0" applyNumberFormat="1" applyFont="1" applyBorder="1" applyAlignment="1" applyProtection="1">
      <alignment vertical="center"/>
      <protection hidden="1"/>
    </xf>
    <xf numFmtId="37" fontId="8" fillId="0" borderId="180" xfId="0" applyNumberFormat="1" applyFont="1" applyBorder="1" applyAlignment="1" applyProtection="1">
      <alignment vertical="center"/>
      <protection hidden="1"/>
    </xf>
    <xf numFmtId="37" fontId="8" fillId="0" borderId="181" xfId="0" applyNumberFormat="1" applyFont="1" applyBorder="1" applyAlignment="1" applyProtection="1">
      <alignment vertical="center"/>
      <protection hidden="1"/>
    </xf>
    <xf numFmtId="37" fontId="8" fillId="5" borderId="179" xfId="0" applyNumberFormat="1" applyFont="1" applyFill="1" applyBorder="1" applyAlignment="1" applyProtection="1">
      <alignment vertical="center"/>
      <protection locked="0" hidden="1"/>
    </xf>
    <xf numFmtId="37" fontId="8" fillId="5" borderId="180" xfId="0" applyNumberFormat="1" applyFont="1" applyFill="1" applyBorder="1" applyAlignment="1" applyProtection="1">
      <alignment vertical="center"/>
      <protection locked="0" hidden="1"/>
    </xf>
    <xf numFmtId="37" fontId="8" fillId="5" borderId="181" xfId="0" applyNumberFormat="1" applyFont="1" applyFill="1" applyBorder="1" applyAlignment="1" applyProtection="1">
      <alignment vertical="center"/>
      <protection locked="0" hidden="1"/>
    </xf>
    <xf numFmtId="37" fontId="46" fillId="8" borderId="183" xfId="0" applyNumberFormat="1" applyFont="1" applyFill="1" applyBorder="1" applyAlignment="1" applyProtection="1">
      <alignment vertical="center"/>
      <protection hidden="1"/>
    </xf>
    <xf numFmtId="37" fontId="1" fillId="5" borderId="183" xfId="0" applyNumberFormat="1" applyFont="1" applyFill="1" applyBorder="1" applyAlignment="1" applyProtection="1">
      <alignment vertical="center"/>
      <protection locked="0" hidden="1"/>
    </xf>
    <xf numFmtId="37" fontId="8" fillId="5" borderId="183" xfId="0" applyNumberFormat="1" applyFont="1" applyFill="1" applyBorder="1" applyAlignment="1" applyProtection="1">
      <alignment vertical="center"/>
      <protection locked="0" hidden="1"/>
    </xf>
    <xf numFmtId="37" fontId="8" fillId="0" borderId="183" xfId="0" applyNumberFormat="1" applyFont="1" applyBorder="1" applyAlignment="1" applyProtection="1">
      <alignment vertical="center"/>
      <protection hidden="1"/>
    </xf>
    <xf numFmtId="37" fontId="46" fillId="8" borderId="13" xfId="0" applyNumberFormat="1" applyFont="1" applyFill="1" applyBorder="1" applyAlignment="1" applyProtection="1">
      <alignment vertical="center"/>
      <protection hidden="1"/>
    </xf>
    <xf numFmtId="37" fontId="0" fillId="5" borderId="13" xfId="0" applyNumberFormat="1" applyFill="1" applyBorder="1" applyAlignment="1" applyProtection="1">
      <alignment vertical="center"/>
      <protection locked="0" hidden="1"/>
    </xf>
    <xf numFmtId="37" fontId="8" fillId="5" borderId="13" xfId="0" applyNumberFormat="1" applyFont="1" applyFill="1" applyBorder="1" applyAlignment="1" applyProtection="1">
      <alignment vertical="center"/>
      <protection locked="0" hidden="1"/>
    </xf>
    <xf numFmtId="37" fontId="8" fillId="0" borderId="13" xfId="0" applyNumberFormat="1" applyFont="1" applyBorder="1" applyAlignment="1" applyProtection="1">
      <alignment vertical="center"/>
      <protection hidden="1"/>
    </xf>
    <xf numFmtId="164" fontId="47" fillId="15" borderId="13" xfId="2" applyFont="1" applyFill="1" applyBorder="1" applyAlignment="1" applyProtection="1">
      <alignment vertical="center"/>
      <protection hidden="1"/>
    </xf>
    <xf numFmtId="164" fontId="47" fillId="16" borderId="13" xfId="2" applyFont="1" applyFill="1" applyBorder="1" applyAlignment="1" applyProtection="1">
      <alignment vertical="center"/>
      <protection hidden="1"/>
    </xf>
    <xf numFmtId="164" fontId="46" fillId="6" borderId="13" xfId="0" applyNumberFormat="1" applyFont="1" applyFill="1" applyBorder="1" applyAlignment="1" applyProtection="1">
      <alignment vertical="center"/>
      <protection hidden="1"/>
    </xf>
    <xf numFmtId="164" fontId="46" fillId="6" borderId="184" xfId="0" applyNumberFormat="1" applyFont="1" applyFill="1" applyBorder="1" applyAlignment="1" applyProtection="1">
      <alignment vertical="center"/>
      <protection hidden="1"/>
    </xf>
    <xf numFmtId="37" fontId="0" fillId="5" borderId="184" xfId="0" applyNumberFormat="1" applyFill="1" applyBorder="1" applyAlignment="1" applyProtection="1">
      <alignment vertical="center"/>
      <protection locked="0" hidden="1"/>
    </xf>
    <xf numFmtId="37" fontId="8" fillId="5" borderId="184" xfId="0" applyNumberFormat="1" applyFont="1" applyFill="1" applyBorder="1" applyAlignment="1" applyProtection="1">
      <alignment vertical="center"/>
      <protection locked="0" hidden="1"/>
    </xf>
    <xf numFmtId="37" fontId="8" fillId="0" borderId="184" xfId="0" applyNumberFormat="1" applyFont="1" applyBorder="1" applyAlignment="1" applyProtection="1">
      <alignment vertical="center"/>
      <protection hidden="1"/>
    </xf>
    <xf numFmtId="37" fontId="46" fillId="8" borderId="179" xfId="0" applyNumberFormat="1" applyFont="1" applyFill="1" applyBorder="1" applyAlignment="1" applyProtection="1">
      <alignment vertical="center"/>
      <protection hidden="1"/>
    </xf>
    <xf numFmtId="37" fontId="46" fillId="8" borderId="180" xfId="0" applyNumberFormat="1" applyFont="1" applyFill="1" applyBorder="1" applyAlignment="1" applyProtection="1">
      <alignment vertical="center"/>
      <protection hidden="1"/>
    </xf>
    <xf numFmtId="164" fontId="47" fillId="15" borderId="180" xfId="2" applyFont="1" applyFill="1" applyBorder="1" applyAlignment="1" applyProtection="1">
      <alignment vertical="center"/>
      <protection hidden="1"/>
    </xf>
    <xf numFmtId="164" fontId="47" fillId="16" borderId="180" xfId="2" applyFont="1" applyFill="1" applyBorder="1" applyAlignment="1" applyProtection="1">
      <alignment vertical="center"/>
      <protection hidden="1"/>
    </xf>
    <xf numFmtId="164" fontId="46" fillId="6" borderId="180" xfId="0" applyNumberFormat="1" applyFont="1" applyFill="1" applyBorder="1" applyAlignment="1" applyProtection="1">
      <alignment vertical="center"/>
      <protection hidden="1"/>
    </xf>
    <xf numFmtId="164" fontId="46" fillId="6" borderId="181" xfId="0" applyNumberFormat="1" applyFont="1" applyFill="1" applyBorder="1" applyAlignment="1" applyProtection="1">
      <alignment vertical="center"/>
      <protection hidden="1"/>
    </xf>
    <xf numFmtId="0" fontId="27" fillId="0" borderId="0" xfId="0" applyFont="1" applyFill="1" applyBorder="1" applyAlignment="1" applyProtection="1">
      <alignment vertical="center"/>
      <protection hidden="1"/>
    </xf>
    <xf numFmtId="49" fontId="11" fillId="0" borderId="0" xfId="0" applyNumberFormat="1" applyFont="1" applyFill="1" applyBorder="1" applyAlignment="1" applyProtection="1">
      <alignment horizontal="right" vertical="center"/>
      <protection hidden="1"/>
    </xf>
    <xf numFmtId="37" fontId="7" fillId="0" borderId="36" xfId="0" applyNumberFormat="1" applyFont="1" applyFill="1" applyBorder="1" applyAlignment="1" applyProtection="1">
      <alignment horizontal="right" vertical="center"/>
      <protection hidden="1"/>
    </xf>
    <xf numFmtId="37" fontId="7" fillId="0" borderId="28" xfId="0" applyNumberFormat="1" applyFont="1" applyFill="1" applyBorder="1" applyAlignment="1" applyProtection="1">
      <alignment horizontal="right" vertical="center"/>
      <protection hidden="1"/>
    </xf>
    <xf numFmtId="0" fontId="1" fillId="0" borderId="0" xfId="5">
      <alignment vertical="center"/>
    </xf>
    <xf numFmtId="0" fontId="22" fillId="0" borderId="0" xfId="5" applyNumberFormat="1" applyFont="1" applyAlignment="1">
      <alignment horizontal="center"/>
    </xf>
    <xf numFmtId="0" fontId="6" fillId="0" borderId="0" xfId="5" applyNumberFormat="1" applyFont="1" applyAlignment="1">
      <alignment horizontal="center"/>
    </xf>
    <xf numFmtId="0" fontId="11" fillId="0" borderId="0" xfId="5" applyNumberFormat="1" applyFont="1" applyAlignment="1">
      <alignment wrapText="1"/>
    </xf>
    <xf numFmtId="0" fontId="1" fillId="18" borderId="0" xfId="5" applyNumberFormat="1" applyFont="1" applyFill="1" applyAlignment="1">
      <alignment wrapText="1"/>
    </xf>
    <xf numFmtId="0" fontId="53" fillId="18" borderId="0" xfId="5" applyNumberFormat="1" applyFont="1" applyFill="1" applyAlignment="1">
      <alignment horizontal="center"/>
    </xf>
    <xf numFmtId="0" fontId="8" fillId="19" borderId="0" xfId="5" applyNumberFormat="1" applyFont="1" applyFill="1" applyAlignment="1"/>
    <xf numFmtId="3" fontId="8" fillId="19" borderId="0" xfId="5" applyNumberFormat="1" applyFont="1" applyFill="1" applyAlignment="1"/>
    <xf numFmtId="0" fontId="54" fillId="18" borderId="0" xfId="5" applyNumberFormat="1" applyFont="1" applyFill="1" applyAlignment="1">
      <alignment wrapText="1"/>
    </xf>
    <xf numFmtId="0" fontId="1" fillId="0" borderId="0" xfId="5" applyNumberFormat="1" applyFont="1" applyAlignment="1">
      <alignment wrapText="1"/>
    </xf>
    <xf numFmtId="0" fontId="8" fillId="18" borderId="1" xfId="5" applyNumberFormat="1" applyFont="1" applyFill="1" applyBorder="1" applyAlignment="1">
      <alignment wrapText="1"/>
    </xf>
    <xf numFmtId="0" fontId="8" fillId="18" borderId="1" xfId="5" applyNumberFormat="1" applyFont="1" applyFill="1" applyBorder="1" applyAlignment="1">
      <alignment horizontal="right" wrapText="1"/>
    </xf>
    <xf numFmtId="0" fontId="1" fillId="18" borderId="1" xfId="5" applyNumberFormat="1" applyFont="1" applyFill="1" applyBorder="1" applyAlignment="1">
      <alignment horizontal="right" wrapText="1"/>
    </xf>
    <xf numFmtId="0" fontId="1" fillId="18" borderId="0" xfId="5" applyNumberFormat="1" applyFont="1" applyFill="1" applyAlignment="1">
      <alignment horizontal="right" wrapText="1"/>
    </xf>
    <xf numFmtId="3" fontId="1" fillId="19" borderId="0" xfId="5" applyNumberFormat="1" applyFont="1" applyFill="1" applyAlignment="1">
      <alignment wrapText="1"/>
    </xf>
    <xf numFmtId="0" fontId="1" fillId="18" borderId="2" xfId="5" applyNumberFormat="1" applyFont="1" applyFill="1" applyBorder="1" applyAlignment="1">
      <alignment wrapText="1"/>
    </xf>
    <xf numFmtId="0" fontId="1" fillId="18" borderId="2" xfId="5" applyNumberFormat="1" applyFont="1" applyFill="1" applyBorder="1" applyAlignment="1">
      <alignment horizontal="right" wrapText="1"/>
    </xf>
    <xf numFmtId="0" fontId="8" fillId="20" borderId="0" xfId="5" applyNumberFormat="1" applyFont="1" applyFill="1" applyAlignment="1">
      <alignment horizontal="left"/>
    </xf>
    <xf numFmtId="3" fontId="8" fillId="21" borderId="0" xfId="5" applyNumberFormat="1" applyFont="1" applyFill="1" applyAlignment="1">
      <alignment horizontal="right"/>
    </xf>
    <xf numFmtId="3" fontId="8" fillId="22" borderId="0" xfId="5" applyNumberFormat="1" applyFont="1" applyFill="1" applyAlignment="1">
      <alignment horizontal="right"/>
    </xf>
    <xf numFmtId="0" fontId="1" fillId="18" borderId="0" xfId="5" applyNumberFormat="1" applyFont="1" applyFill="1" applyAlignment="1">
      <alignment horizontal="center" wrapText="1"/>
    </xf>
    <xf numFmtId="3" fontId="1" fillId="18" borderId="0" xfId="5" applyNumberFormat="1" applyFont="1" applyFill="1" applyAlignment="1">
      <alignment wrapText="1"/>
    </xf>
    <xf numFmtId="10" fontId="1" fillId="18" borderId="0" xfId="5" applyNumberFormat="1" applyFont="1" applyFill="1" applyAlignment="1">
      <alignment wrapText="1"/>
    </xf>
    <xf numFmtId="3" fontId="7" fillId="18" borderId="0" xfId="5" applyNumberFormat="1" applyFont="1" applyFill="1" applyAlignment="1">
      <alignment wrapText="1"/>
    </xf>
    <xf numFmtId="49" fontId="8" fillId="25" borderId="0" xfId="5" applyNumberFormat="1" applyFont="1" applyFill="1" applyAlignment="1">
      <alignment horizontal="left"/>
    </xf>
    <xf numFmtId="49" fontId="8" fillId="26" borderId="0" xfId="5" applyNumberFormat="1" applyFont="1" applyFill="1" applyAlignment="1">
      <alignment horizontal="left"/>
    </xf>
    <xf numFmtId="0" fontId="55" fillId="18" borderId="0" xfId="5" applyNumberFormat="1" applyFont="1" applyFill="1" applyAlignment="1">
      <alignment wrapText="1"/>
    </xf>
    <xf numFmtId="0" fontId="8" fillId="18" borderId="0" xfId="5" applyNumberFormat="1" applyFont="1" applyFill="1" applyAlignment="1">
      <alignment horizontal="right"/>
    </xf>
    <xf numFmtId="3" fontId="8" fillId="18" borderId="1" xfId="5" applyNumberFormat="1" applyFont="1" applyFill="1" applyBorder="1" applyAlignment="1">
      <alignment horizontal="right"/>
    </xf>
    <xf numFmtId="0" fontId="8" fillId="18" borderId="1" xfId="5" applyNumberFormat="1" applyFont="1" applyFill="1" applyBorder="1" applyAlignment="1">
      <alignment horizontal="right"/>
    </xf>
    <xf numFmtId="0" fontId="8" fillId="18" borderId="0" xfId="5" applyNumberFormat="1" applyFont="1" applyFill="1" applyAlignment="1">
      <alignment wrapText="1"/>
    </xf>
    <xf numFmtId="3" fontId="56" fillId="18" borderId="1" xfId="5" applyNumberFormat="1" applyFont="1" applyFill="1" applyBorder="1" applyAlignment="1">
      <alignment wrapText="1"/>
    </xf>
    <xf numFmtId="0" fontId="55" fillId="18" borderId="1" xfId="5" applyNumberFormat="1" applyFont="1" applyFill="1" applyBorder="1" applyAlignment="1">
      <alignment wrapText="1"/>
    </xf>
    <xf numFmtId="0" fontId="8" fillId="18" borderId="0" xfId="5" applyNumberFormat="1" applyFont="1" applyFill="1" applyAlignment="1">
      <alignment horizontal="left"/>
    </xf>
    <xf numFmtId="3" fontId="8" fillId="22" borderId="2" xfId="5" applyNumberFormat="1" applyFont="1" applyFill="1" applyBorder="1" applyAlignment="1">
      <alignment horizontal="right"/>
    </xf>
    <xf numFmtId="0" fontId="8" fillId="18" borderId="2" xfId="5" applyNumberFormat="1" applyFont="1" applyFill="1" applyBorder="1" applyAlignment="1">
      <alignment horizontal="center" wrapText="1"/>
    </xf>
    <xf numFmtId="3" fontId="8" fillId="18" borderId="2" xfId="5" applyNumberFormat="1" applyFont="1" applyFill="1" applyBorder="1" applyAlignment="1">
      <alignment horizontal="right" wrapText="1"/>
    </xf>
    <xf numFmtId="0" fontId="8" fillId="18" borderId="0" xfId="5" applyNumberFormat="1" applyFont="1" applyFill="1" applyAlignment="1">
      <alignment horizontal="center" wrapText="1"/>
    </xf>
    <xf numFmtId="10" fontId="8" fillId="18" borderId="2" xfId="5" applyNumberFormat="1" applyFont="1" applyFill="1" applyBorder="1" applyAlignment="1">
      <alignment horizontal="right" wrapText="1"/>
    </xf>
    <xf numFmtId="0" fontId="1" fillId="18" borderId="0" xfId="5" applyNumberFormat="1" applyFont="1" applyFill="1" applyAlignment="1">
      <alignment horizontal="left" wrapText="1"/>
    </xf>
    <xf numFmtId="3" fontId="55" fillId="18" borderId="0" xfId="5" applyNumberFormat="1" applyFont="1" applyFill="1" applyAlignment="1">
      <alignment horizontal="right" wrapText="1"/>
    </xf>
    <xf numFmtId="10" fontId="7" fillId="18" borderId="0" xfId="5" applyNumberFormat="1" applyFont="1" applyFill="1" applyAlignment="1">
      <alignment wrapText="1"/>
    </xf>
    <xf numFmtId="3" fontId="8" fillId="18" borderId="0" xfId="5" applyNumberFormat="1" applyFont="1" applyFill="1" applyAlignment="1">
      <alignment horizontal="right"/>
    </xf>
    <xf numFmtId="0" fontId="8" fillId="18" borderId="0" xfId="5" applyNumberFormat="1" applyFont="1" applyFill="1" applyAlignment="1"/>
    <xf numFmtId="0" fontId="1" fillId="19" borderId="0" xfId="5" applyNumberFormat="1" applyFont="1" applyFill="1" applyAlignment="1">
      <alignment wrapText="1"/>
    </xf>
    <xf numFmtId="0" fontId="54" fillId="0" borderId="0" xfId="5" applyNumberFormat="1" applyFont="1" applyAlignment="1">
      <alignment wrapText="1"/>
    </xf>
    <xf numFmtId="0" fontId="52" fillId="0" borderId="0" xfId="0" applyNumberFormat="1" applyFont="1" applyBorder="1" applyAlignment="1" applyProtection="1">
      <alignment horizontal="right" vertical="center"/>
      <protection hidden="1"/>
    </xf>
    <xf numFmtId="0" fontId="22" fillId="0" borderId="0" xfId="0" applyNumberFormat="1" applyFont="1" applyAlignment="1">
      <alignment horizontal="center"/>
    </xf>
    <xf numFmtId="0" fontId="6" fillId="0" borderId="0" xfId="0" applyNumberFormat="1" applyFont="1" applyAlignment="1">
      <alignment horizontal="center"/>
    </xf>
    <xf numFmtId="0" fontId="11" fillId="0" borderId="0" xfId="0" applyNumberFormat="1" applyFont="1" applyAlignment="1">
      <alignment wrapText="1"/>
    </xf>
    <xf numFmtId="0" fontId="53" fillId="18" borderId="0" xfId="0" applyNumberFormat="1" applyFont="1" applyFill="1" applyAlignment="1">
      <alignment horizontal="center"/>
    </xf>
    <xf numFmtId="0" fontId="8" fillId="19" borderId="0" xfId="0" applyNumberFormat="1" applyFont="1" applyFill="1" applyAlignment="1"/>
    <xf numFmtId="3" fontId="8" fillId="19" borderId="0" xfId="0" applyNumberFormat="1" applyFont="1" applyFill="1" applyAlignment="1"/>
    <xf numFmtId="0" fontId="54" fillId="18" borderId="0" xfId="0" applyNumberFormat="1" applyFont="1" applyFill="1" applyAlignment="1">
      <alignment wrapText="1"/>
    </xf>
    <xf numFmtId="3" fontId="0" fillId="19" borderId="0" xfId="0" applyNumberFormat="1" applyFont="1" applyFill="1" applyAlignment="1">
      <alignment wrapText="1"/>
    </xf>
    <xf numFmtId="0" fontId="0" fillId="19" borderId="0" xfId="0" applyNumberFormat="1" applyFont="1" applyFill="1" applyAlignment="1">
      <alignment wrapText="1"/>
    </xf>
    <xf numFmtId="0" fontId="11" fillId="0" borderId="0" xfId="5" applyFont="1">
      <alignment vertical="center"/>
    </xf>
    <xf numFmtId="3" fontId="7" fillId="0" borderId="0" xfId="0" applyNumberFormat="1" applyFont="1" applyBorder="1" applyAlignment="1" applyProtection="1">
      <alignment horizontal="center" vertical="center"/>
      <protection hidden="1"/>
    </xf>
    <xf numFmtId="0" fontId="7" fillId="0" borderId="0" xfId="0" applyFont="1" applyBorder="1" applyAlignment="1" applyProtection="1">
      <alignment horizontal="center" vertical="center"/>
      <protection hidden="1"/>
    </xf>
    <xf numFmtId="165" fontId="0" fillId="0" borderId="0" xfId="0" applyNumberFormat="1" applyBorder="1" applyAlignment="1" applyProtection="1">
      <alignment horizontal="center" vertical="center"/>
      <protection hidden="1"/>
    </xf>
    <xf numFmtId="0" fontId="0" fillId="0" borderId="0" xfId="0" applyBorder="1" applyAlignment="1" applyProtection="1">
      <alignment horizontal="center" vertical="center"/>
      <protection hidden="1"/>
    </xf>
    <xf numFmtId="37" fontId="7" fillId="0" borderId="0" xfId="0" applyNumberFormat="1" applyFont="1" applyBorder="1" applyAlignment="1" applyProtection="1">
      <alignment horizontal="center" vertical="center"/>
      <protection hidden="1"/>
    </xf>
    <xf numFmtId="3" fontId="0" fillId="0" borderId="0" xfId="0" applyNumberFormat="1" applyBorder="1" applyAlignment="1" applyProtection="1">
      <alignment horizontal="center" vertical="center"/>
      <protection hidden="1"/>
    </xf>
    <xf numFmtId="0" fontId="3" fillId="5" borderId="0" xfId="0" applyFont="1" applyFill="1" applyAlignment="1" applyProtection="1">
      <alignment horizontal="right" vertical="center"/>
      <protection locked="0" hidden="1"/>
    </xf>
    <xf numFmtId="164" fontId="32" fillId="6" borderId="36" xfId="0" applyNumberFormat="1" applyFont="1" applyFill="1" applyBorder="1" applyAlignment="1" applyProtection="1">
      <alignment horizontal="center" vertical="center"/>
      <protection hidden="1"/>
    </xf>
    <xf numFmtId="164" fontId="32" fillId="6" borderId="41" xfId="0" applyNumberFormat="1" applyFont="1" applyFill="1" applyBorder="1" applyAlignment="1" applyProtection="1">
      <alignment horizontal="center" vertical="center"/>
      <protection hidden="1"/>
    </xf>
    <xf numFmtId="164" fontId="32" fillId="6" borderId="37" xfId="0" applyNumberFormat="1" applyFont="1" applyFill="1" applyBorder="1" applyAlignment="1" applyProtection="1">
      <alignment horizontal="center" vertical="center"/>
      <protection hidden="1"/>
    </xf>
    <xf numFmtId="164" fontId="32" fillId="6" borderId="99" xfId="0" applyNumberFormat="1" applyFont="1" applyFill="1" applyBorder="1" applyAlignment="1" applyProtection="1">
      <alignment horizontal="center" vertical="center"/>
      <protection hidden="1"/>
    </xf>
    <xf numFmtId="164" fontId="32" fillId="6" borderId="1" xfId="0" applyNumberFormat="1" applyFont="1" applyFill="1" applyBorder="1" applyAlignment="1" applyProtection="1">
      <alignment horizontal="center" vertical="center"/>
      <protection hidden="1"/>
    </xf>
    <xf numFmtId="164" fontId="32" fillId="6" borderId="103" xfId="0" applyNumberFormat="1" applyFont="1" applyFill="1" applyBorder="1" applyAlignment="1" applyProtection="1">
      <alignment horizontal="center" vertical="center"/>
      <protection hidden="1"/>
    </xf>
    <xf numFmtId="0" fontId="4" fillId="0" borderId="0" xfId="0" applyFont="1" applyBorder="1" applyAlignment="1" applyProtection="1">
      <alignment horizontal="left" vertical="top" wrapText="1"/>
      <protection hidden="1"/>
    </xf>
    <xf numFmtId="164" fontId="30" fillId="9" borderId="36" xfId="0" applyNumberFormat="1" applyFont="1" applyFill="1" applyBorder="1" applyAlignment="1" applyProtection="1">
      <alignment horizontal="center" vertical="center"/>
      <protection hidden="1"/>
    </xf>
    <xf numFmtId="164" fontId="30" fillId="9" borderId="41" xfId="0" applyNumberFormat="1" applyFont="1" applyFill="1" applyBorder="1" applyAlignment="1" applyProtection="1">
      <alignment horizontal="center" vertical="center"/>
      <protection hidden="1"/>
    </xf>
    <xf numFmtId="164" fontId="30" fillId="9" borderId="37" xfId="0" applyNumberFormat="1" applyFont="1" applyFill="1" applyBorder="1" applyAlignment="1" applyProtection="1">
      <alignment horizontal="center" vertical="center"/>
      <protection hidden="1"/>
    </xf>
    <xf numFmtId="164" fontId="30" fillId="9" borderId="26" xfId="0" applyNumberFormat="1" applyFont="1" applyFill="1" applyBorder="1" applyAlignment="1" applyProtection="1">
      <alignment horizontal="center" vertical="center"/>
      <protection hidden="1"/>
    </xf>
    <xf numFmtId="164" fontId="30" fillId="9" borderId="24" xfId="0" applyNumberFormat="1" applyFont="1" applyFill="1" applyBorder="1" applyAlignment="1" applyProtection="1">
      <alignment horizontal="center" vertical="center"/>
      <protection hidden="1"/>
    </xf>
    <xf numFmtId="164" fontId="30" fillId="9" borderId="42" xfId="0" applyNumberFormat="1" applyFont="1" applyFill="1" applyBorder="1" applyAlignment="1" applyProtection="1">
      <alignment horizontal="center" vertical="center"/>
      <protection hidden="1"/>
    </xf>
    <xf numFmtId="0" fontId="14" fillId="0" borderId="0" xfId="0" applyFont="1" applyBorder="1" applyAlignment="1" applyProtection="1">
      <alignment horizontal="left" vertical="top" wrapText="1"/>
      <protection hidden="1"/>
    </xf>
    <xf numFmtId="0" fontId="14" fillId="0" borderId="0" xfId="0" applyFont="1" applyFill="1" applyAlignment="1" applyProtection="1">
      <alignment horizontal="left"/>
      <protection hidden="1"/>
    </xf>
    <xf numFmtId="0" fontId="23" fillId="6" borderId="0" xfId="0" applyFont="1" applyFill="1" applyBorder="1" applyAlignment="1" applyProtection="1">
      <alignment horizontal="center" vertical="center"/>
      <protection hidden="1"/>
    </xf>
    <xf numFmtId="49" fontId="7" fillId="5" borderId="78" xfId="0" applyNumberFormat="1" applyFont="1" applyFill="1" applyBorder="1" applyAlignment="1" applyProtection="1">
      <alignment horizontal="center" vertical="center"/>
      <protection locked="0" hidden="1"/>
    </xf>
    <xf numFmtId="49" fontId="7" fillId="5" borderId="79" xfId="0" applyNumberFormat="1" applyFont="1" applyFill="1" applyBorder="1" applyAlignment="1" applyProtection="1">
      <alignment horizontal="center" vertical="center"/>
      <protection locked="0" hidden="1"/>
    </xf>
    <xf numFmtId="3" fontId="7" fillId="5" borderId="78" xfId="0" applyNumberFormat="1" applyFont="1" applyFill="1" applyBorder="1" applyAlignment="1" applyProtection="1">
      <alignment horizontal="center" vertical="center"/>
      <protection locked="0" hidden="1"/>
    </xf>
    <xf numFmtId="3" fontId="7" fillId="5" borderId="79" xfId="0" applyNumberFormat="1" applyFont="1" applyFill="1" applyBorder="1" applyAlignment="1" applyProtection="1">
      <alignment horizontal="center" vertical="center"/>
      <protection locked="0" hidden="1"/>
    </xf>
    <xf numFmtId="37" fontId="7" fillId="0" borderId="36" xfId="0" applyNumberFormat="1" applyFont="1" applyFill="1" applyBorder="1" applyAlignment="1" applyProtection="1">
      <alignment horizontal="center" vertical="center"/>
      <protection hidden="1"/>
    </xf>
    <xf numFmtId="37" fontId="7" fillId="0" borderId="37" xfId="0" applyNumberFormat="1" applyFont="1" applyFill="1" applyBorder="1" applyAlignment="1" applyProtection="1">
      <alignment horizontal="center" vertical="center"/>
      <protection hidden="1"/>
    </xf>
    <xf numFmtId="2" fontId="0" fillId="0" borderId="38" xfId="0" applyNumberFormat="1" applyFill="1" applyBorder="1" applyAlignment="1" applyProtection="1">
      <alignment horizontal="center" vertical="center"/>
      <protection hidden="1"/>
    </xf>
    <xf numFmtId="2" fontId="0" fillId="0" borderId="39" xfId="0" applyNumberFormat="1" applyFill="1" applyBorder="1" applyAlignment="1" applyProtection="1">
      <alignment horizontal="center" vertical="center"/>
      <protection hidden="1"/>
    </xf>
    <xf numFmtId="37" fontId="7" fillId="0" borderId="28" xfId="0" applyNumberFormat="1" applyFont="1" applyFill="1" applyBorder="1" applyAlignment="1" applyProtection="1">
      <alignment horizontal="center" vertical="center"/>
      <protection hidden="1"/>
    </xf>
    <xf numFmtId="37" fontId="7" fillId="0" borderId="27" xfId="0" applyNumberFormat="1" applyFont="1" applyFill="1" applyBorder="1" applyAlignment="1" applyProtection="1">
      <alignment horizontal="center" vertical="center"/>
      <protection hidden="1"/>
    </xf>
    <xf numFmtId="0" fontId="23" fillId="6" borderId="0" xfId="0" applyFont="1" applyFill="1" applyAlignment="1" applyProtection="1">
      <alignment horizontal="center" vertical="center"/>
      <protection hidden="1"/>
    </xf>
    <xf numFmtId="49" fontId="7" fillId="10" borderId="78" xfId="0" applyNumberFormat="1" applyFont="1" applyFill="1" applyBorder="1" applyAlignment="1" applyProtection="1">
      <alignment horizontal="center" vertical="center"/>
      <protection hidden="1"/>
    </xf>
    <xf numFmtId="49" fontId="7" fillId="10" borderId="80" xfId="0" applyNumberFormat="1" applyFont="1" applyFill="1" applyBorder="1" applyAlignment="1" applyProtection="1">
      <alignment horizontal="center" vertical="center"/>
      <protection hidden="1"/>
    </xf>
    <xf numFmtId="49" fontId="7" fillId="10" borderId="79" xfId="0" applyNumberFormat="1" applyFont="1" applyFill="1" applyBorder="1" applyAlignment="1" applyProtection="1">
      <alignment horizontal="center" vertical="center"/>
      <protection hidden="1"/>
    </xf>
    <xf numFmtId="37" fontId="7" fillId="0" borderId="0" xfId="0" applyNumberFormat="1" applyFont="1" applyAlignment="1" applyProtection="1">
      <alignment horizontal="center" vertical="center"/>
      <protection hidden="1"/>
    </xf>
    <xf numFmtId="3" fontId="0" fillId="0" borderId="0" xfId="0" applyNumberFormat="1" applyAlignment="1" applyProtection="1">
      <alignment horizontal="center" vertical="center"/>
      <protection hidden="1"/>
    </xf>
    <xf numFmtId="37" fontId="0" fillId="16" borderId="78" xfId="0" applyNumberFormat="1" applyFill="1" applyBorder="1" applyAlignment="1" applyProtection="1">
      <alignment horizontal="center"/>
      <protection hidden="1"/>
    </xf>
    <xf numFmtId="37" fontId="0" fillId="16" borderId="80" xfId="0" applyNumberFormat="1" applyFill="1" applyBorder="1" applyAlignment="1" applyProtection="1">
      <alignment horizontal="center"/>
      <protection hidden="1"/>
    </xf>
    <xf numFmtId="37" fontId="0" fillId="16" borderId="79" xfId="0" applyNumberFormat="1" applyFill="1" applyBorder="1" applyAlignment="1" applyProtection="1">
      <alignment horizontal="center"/>
      <protection hidden="1"/>
    </xf>
    <xf numFmtId="37" fontId="24" fillId="6" borderId="78" xfId="0" applyNumberFormat="1" applyFont="1" applyFill="1" applyBorder="1" applyAlignment="1" applyProtection="1">
      <alignment horizontal="center" vertical="center"/>
      <protection hidden="1"/>
    </xf>
    <xf numFmtId="37" fontId="24" fillId="6" borderId="80" xfId="0" applyNumberFormat="1" applyFont="1" applyFill="1" applyBorder="1" applyAlignment="1" applyProtection="1">
      <alignment horizontal="center" vertical="center"/>
      <protection hidden="1"/>
    </xf>
    <xf numFmtId="37" fontId="24" fillId="6" borderId="79" xfId="0" applyNumberFormat="1" applyFont="1" applyFill="1" applyBorder="1" applyAlignment="1" applyProtection="1">
      <alignment horizontal="center" vertical="center"/>
      <protection hidden="1"/>
    </xf>
    <xf numFmtId="37" fontId="7" fillId="0" borderId="41" xfId="0" applyNumberFormat="1" applyFont="1" applyFill="1" applyBorder="1" applyAlignment="1" applyProtection="1">
      <alignment horizontal="center" vertical="center"/>
      <protection hidden="1"/>
    </xf>
    <xf numFmtId="2" fontId="0" fillId="0" borderId="75" xfId="0" applyNumberFormat="1" applyFill="1" applyBorder="1" applyAlignment="1" applyProtection="1">
      <alignment horizontal="center" vertical="center"/>
      <protection hidden="1"/>
    </xf>
    <xf numFmtId="37" fontId="7" fillId="0" borderId="82" xfId="0" applyNumberFormat="1" applyFont="1" applyFill="1" applyBorder="1" applyAlignment="1" applyProtection="1">
      <alignment horizontal="center" vertical="center"/>
      <protection hidden="1"/>
    </xf>
    <xf numFmtId="0" fontId="14" fillId="0" borderId="0" xfId="0" applyFont="1" applyFill="1" applyAlignment="1" applyProtection="1">
      <alignment horizontal="left" vertical="top" wrapText="1"/>
      <protection hidden="1"/>
    </xf>
    <xf numFmtId="37" fontId="44" fillId="8" borderId="32" xfId="0" applyNumberFormat="1" applyFont="1" applyFill="1" applyBorder="1" applyAlignment="1" applyProtection="1">
      <alignment horizontal="left" vertical="top" wrapText="1"/>
      <protection hidden="1"/>
    </xf>
    <xf numFmtId="37" fontId="44" fillId="8" borderId="89" xfId="0" applyNumberFormat="1" applyFont="1" applyFill="1" applyBorder="1" applyAlignment="1" applyProtection="1">
      <alignment horizontal="left" vertical="top" wrapText="1"/>
      <protection hidden="1"/>
    </xf>
    <xf numFmtId="37" fontId="44" fillId="8" borderId="33" xfId="0" applyNumberFormat="1" applyFont="1" applyFill="1" applyBorder="1" applyAlignment="1" applyProtection="1">
      <alignment horizontal="left" vertical="top" wrapText="1"/>
      <protection hidden="1"/>
    </xf>
    <xf numFmtId="164" fontId="27" fillId="15" borderId="163" xfId="2" applyFont="1" applyFill="1" applyBorder="1" applyAlignment="1" applyProtection="1">
      <alignment horizontal="left" vertical="center"/>
      <protection hidden="1"/>
    </xf>
    <xf numFmtId="164" fontId="27" fillId="15" borderId="155" xfId="2" applyFont="1" applyFill="1" applyBorder="1" applyAlignment="1" applyProtection="1">
      <alignment horizontal="left" vertical="center"/>
      <protection hidden="1"/>
    </xf>
    <xf numFmtId="164" fontId="27" fillId="15" borderId="156" xfId="2" applyFont="1" applyFill="1" applyBorder="1" applyAlignment="1" applyProtection="1">
      <alignment horizontal="left" vertical="center"/>
      <protection hidden="1"/>
    </xf>
    <xf numFmtId="164" fontId="27" fillId="16" borderId="25" xfId="2" applyFont="1" applyFill="1" applyBorder="1" applyAlignment="1" applyProtection="1">
      <alignment horizontal="left" vertical="center"/>
      <protection hidden="1"/>
    </xf>
    <xf numFmtId="164" fontId="27" fillId="16" borderId="0" xfId="2" applyFont="1" applyFill="1" applyBorder="1" applyAlignment="1" applyProtection="1">
      <alignment horizontal="left" vertical="center"/>
      <protection hidden="1"/>
    </xf>
    <xf numFmtId="164" fontId="27" fillId="16" borderId="108" xfId="2" applyFont="1" applyFill="1" applyBorder="1" applyAlignment="1" applyProtection="1">
      <alignment horizontal="left" vertical="center"/>
      <protection hidden="1"/>
    </xf>
    <xf numFmtId="164" fontId="44" fillId="6" borderId="164" xfId="0" applyNumberFormat="1" applyFont="1" applyFill="1" applyBorder="1" applyAlignment="1" applyProtection="1">
      <alignment horizontal="left" vertical="center"/>
      <protection hidden="1"/>
    </xf>
    <xf numFmtId="164" fontId="44" fillId="6" borderId="157" xfId="0" applyNumberFormat="1" applyFont="1" applyFill="1" applyBorder="1" applyAlignment="1" applyProtection="1">
      <alignment horizontal="left" vertical="center"/>
      <protection hidden="1"/>
    </xf>
    <xf numFmtId="164" fontId="44" fillId="6" borderId="158" xfId="0" applyNumberFormat="1" applyFont="1" applyFill="1" applyBorder="1" applyAlignment="1" applyProtection="1">
      <alignment horizontal="left" vertical="center"/>
      <protection hidden="1"/>
    </xf>
    <xf numFmtId="3" fontId="7" fillId="10" borderId="78" xfId="0" applyNumberFormat="1" applyFont="1" applyFill="1" applyBorder="1" applyAlignment="1" applyProtection="1">
      <alignment horizontal="center" vertical="center"/>
      <protection hidden="1"/>
    </xf>
    <xf numFmtId="3" fontId="7" fillId="10" borderId="80" xfId="0" applyNumberFormat="1" applyFont="1" applyFill="1" applyBorder="1" applyAlignment="1" applyProtection="1">
      <alignment horizontal="center" vertical="center"/>
      <protection hidden="1"/>
    </xf>
    <xf numFmtId="3" fontId="7" fillId="10" borderId="79" xfId="0" applyNumberFormat="1" applyFont="1" applyFill="1" applyBorder="1" applyAlignment="1" applyProtection="1">
      <alignment horizontal="center" vertical="center"/>
      <protection hidden="1"/>
    </xf>
    <xf numFmtId="165" fontId="0" fillId="0" borderId="81" xfId="0" applyNumberFormat="1" applyBorder="1" applyAlignment="1" applyProtection="1">
      <alignment horizontal="center" vertical="center"/>
      <protection hidden="1"/>
    </xf>
    <xf numFmtId="164" fontId="15" fillId="4" borderId="19" xfId="0" applyNumberFormat="1" applyFont="1" applyFill="1" applyBorder="1" applyAlignment="1" applyProtection="1">
      <alignment horizontal="center" vertical="center"/>
      <protection hidden="1"/>
    </xf>
    <xf numFmtId="164" fontId="15" fillId="4" borderId="17" xfId="0" applyNumberFormat="1" applyFont="1" applyFill="1" applyBorder="1" applyAlignment="1" applyProtection="1">
      <alignment horizontal="center" vertical="center"/>
      <protection hidden="1"/>
    </xf>
    <xf numFmtId="164" fontId="15" fillId="4" borderId="18" xfId="0" applyNumberFormat="1" applyFont="1" applyFill="1" applyBorder="1" applyAlignment="1" applyProtection="1">
      <alignment horizontal="center" vertical="center"/>
      <protection hidden="1"/>
    </xf>
    <xf numFmtId="164" fontId="14" fillId="4" borderId="19" xfId="0" applyNumberFormat="1" applyFont="1" applyFill="1" applyBorder="1" applyAlignment="1" applyProtection="1">
      <alignment horizontal="center" vertical="center"/>
      <protection hidden="1"/>
    </xf>
    <xf numFmtId="164" fontId="14" fillId="4" borderId="17" xfId="0" applyNumberFormat="1" applyFont="1" applyFill="1" applyBorder="1" applyAlignment="1" applyProtection="1">
      <alignment horizontal="center" vertical="center"/>
      <protection hidden="1"/>
    </xf>
    <xf numFmtId="164" fontId="14" fillId="4" borderId="18" xfId="0" applyNumberFormat="1" applyFont="1" applyFill="1" applyBorder="1" applyAlignment="1" applyProtection="1">
      <alignment horizontal="center" vertical="center"/>
      <protection hidden="1"/>
    </xf>
    <xf numFmtId="164" fontId="32" fillId="6" borderId="2" xfId="0" applyNumberFormat="1" applyFont="1" applyFill="1" applyBorder="1" applyAlignment="1" applyProtection="1">
      <alignment horizontal="center" vertical="center"/>
      <protection hidden="1"/>
    </xf>
    <xf numFmtId="164" fontId="7" fillId="3" borderId="58" xfId="0" applyNumberFormat="1" applyFont="1" applyFill="1" applyBorder="1" applyAlignment="1" applyProtection="1">
      <alignment horizontal="center" vertical="center"/>
      <protection hidden="1"/>
    </xf>
    <xf numFmtId="164" fontId="7" fillId="3" borderId="59" xfId="0" applyNumberFormat="1" applyFont="1" applyFill="1" applyBorder="1" applyAlignment="1" applyProtection="1">
      <alignment horizontal="center" vertical="center"/>
      <protection hidden="1"/>
    </xf>
    <xf numFmtId="164" fontId="7" fillId="3" borderId="60" xfId="0" applyNumberFormat="1" applyFont="1" applyFill="1" applyBorder="1" applyAlignment="1" applyProtection="1">
      <alignment horizontal="center" vertical="center"/>
      <protection hidden="1"/>
    </xf>
    <xf numFmtId="164" fontId="32" fillId="5" borderId="36" xfId="0" applyNumberFormat="1" applyFont="1" applyFill="1" applyBorder="1" applyAlignment="1" applyProtection="1">
      <alignment horizontal="center" vertical="center"/>
      <protection hidden="1"/>
    </xf>
    <xf numFmtId="164" fontId="32" fillId="5" borderId="41" xfId="0" applyNumberFormat="1" applyFont="1" applyFill="1" applyBorder="1" applyAlignment="1" applyProtection="1">
      <alignment horizontal="center" vertical="center"/>
      <protection hidden="1"/>
    </xf>
    <xf numFmtId="164" fontId="32" fillId="5" borderId="37" xfId="0" applyNumberFormat="1" applyFont="1" applyFill="1" applyBorder="1" applyAlignment="1" applyProtection="1">
      <alignment horizontal="center" vertical="center"/>
      <protection hidden="1"/>
    </xf>
    <xf numFmtId="164" fontId="32" fillId="5" borderId="99" xfId="0" applyNumberFormat="1" applyFont="1" applyFill="1" applyBorder="1" applyAlignment="1" applyProtection="1">
      <alignment horizontal="center" vertical="center"/>
      <protection hidden="1"/>
    </xf>
    <xf numFmtId="164" fontId="32" fillId="5" borderId="1" xfId="0" applyNumberFormat="1" applyFont="1" applyFill="1" applyBorder="1" applyAlignment="1" applyProtection="1">
      <alignment horizontal="center" vertical="center"/>
      <protection hidden="1"/>
    </xf>
    <xf numFmtId="164" fontId="32" fillId="5" borderId="103" xfId="0" applyNumberFormat="1" applyFont="1" applyFill="1" applyBorder="1" applyAlignment="1" applyProtection="1">
      <alignment horizontal="center" vertical="center"/>
      <protection hidden="1"/>
    </xf>
    <xf numFmtId="37" fontId="44" fillId="8" borderId="78" xfId="0" applyNumberFormat="1" applyFont="1" applyFill="1" applyBorder="1" applyAlignment="1" applyProtection="1">
      <alignment horizontal="center" vertical="center"/>
      <protection hidden="1"/>
    </xf>
    <xf numFmtId="37" fontId="44" fillId="8" borderId="80" xfId="0" applyNumberFormat="1" applyFont="1" applyFill="1" applyBorder="1" applyAlignment="1" applyProtection="1">
      <alignment horizontal="center" vertical="center"/>
      <protection hidden="1"/>
    </xf>
    <xf numFmtId="37" fontId="44" fillId="8" borderId="79" xfId="0" applyNumberFormat="1" applyFont="1" applyFill="1" applyBorder="1" applyAlignment="1" applyProtection="1">
      <alignment horizontal="center" vertical="center"/>
      <protection hidden="1"/>
    </xf>
    <xf numFmtId="164" fontId="43" fillId="15" borderId="78" xfId="2" applyFont="1" applyFill="1" applyBorder="1" applyAlignment="1" applyProtection="1">
      <alignment horizontal="center" vertical="center"/>
      <protection hidden="1"/>
    </xf>
    <xf numFmtId="164" fontId="43" fillId="15" borderId="80" xfId="2" applyFont="1" applyFill="1" applyBorder="1" applyAlignment="1" applyProtection="1">
      <alignment horizontal="center" vertical="center"/>
      <protection hidden="1"/>
    </xf>
    <xf numFmtId="164" fontId="43" fillId="15" borderId="79" xfId="2" applyFont="1" applyFill="1" applyBorder="1" applyAlignment="1" applyProtection="1">
      <alignment horizontal="center" vertical="center"/>
      <protection hidden="1"/>
    </xf>
    <xf numFmtId="164" fontId="21" fillId="4" borderId="19" xfId="0" applyNumberFormat="1" applyFont="1" applyFill="1" applyBorder="1" applyAlignment="1" applyProtection="1">
      <alignment horizontal="center" vertical="center"/>
      <protection hidden="1"/>
    </xf>
    <xf numFmtId="164" fontId="21" fillId="4" borderId="17" xfId="0" applyNumberFormat="1" applyFont="1" applyFill="1" applyBorder="1" applyAlignment="1" applyProtection="1">
      <alignment horizontal="center" vertical="center"/>
      <protection hidden="1"/>
    </xf>
    <xf numFmtId="164" fontId="21" fillId="4" borderId="18" xfId="0" applyNumberFormat="1" applyFont="1" applyFill="1" applyBorder="1" applyAlignment="1" applyProtection="1">
      <alignment horizontal="center" vertical="center"/>
      <protection hidden="1"/>
    </xf>
    <xf numFmtId="164" fontId="32" fillId="6" borderId="14" xfId="0" applyNumberFormat="1" applyFont="1" applyFill="1" applyBorder="1" applyAlignment="1" applyProtection="1">
      <alignment horizontal="center" vertical="center"/>
      <protection hidden="1"/>
    </xf>
    <xf numFmtId="164" fontId="32" fillId="6" borderId="15" xfId="0" applyNumberFormat="1" applyFont="1" applyFill="1" applyBorder="1" applyAlignment="1" applyProtection="1">
      <alignment horizontal="center" vertical="center"/>
      <protection hidden="1"/>
    </xf>
    <xf numFmtId="164" fontId="32" fillId="6" borderId="6" xfId="0" applyNumberFormat="1" applyFont="1" applyFill="1" applyBorder="1" applyAlignment="1" applyProtection="1">
      <alignment horizontal="center" vertical="center"/>
      <protection hidden="1"/>
    </xf>
    <xf numFmtId="164" fontId="32" fillId="6" borderId="7" xfId="0" applyNumberFormat="1" applyFont="1" applyFill="1" applyBorder="1" applyAlignment="1" applyProtection="1">
      <alignment horizontal="center" vertical="center"/>
      <protection hidden="1"/>
    </xf>
    <xf numFmtId="2" fontId="0" fillId="0" borderId="0" xfId="0" applyNumberFormat="1" applyFill="1" applyBorder="1" applyAlignment="1" applyProtection="1">
      <alignment horizontal="center" vertical="center"/>
      <protection hidden="1"/>
    </xf>
    <xf numFmtId="0" fontId="0" fillId="0" borderId="0" xfId="0" applyAlignment="1" applyProtection="1">
      <alignment horizontal="center" vertical="center"/>
      <protection hidden="1"/>
    </xf>
    <xf numFmtId="2" fontId="0" fillId="0" borderId="0" xfId="0" applyNumberFormat="1" applyAlignment="1" applyProtection="1">
      <alignment horizontal="center" vertical="center"/>
      <protection hidden="1"/>
    </xf>
    <xf numFmtId="164" fontId="37" fillId="8" borderId="36" xfId="0" applyNumberFormat="1" applyFont="1" applyFill="1" applyBorder="1" applyAlignment="1" applyProtection="1">
      <alignment horizontal="center" vertical="center"/>
      <protection hidden="1"/>
    </xf>
    <xf numFmtId="164" fontId="37" fillId="8" borderId="41" xfId="0" applyNumberFormat="1" applyFont="1" applyFill="1" applyBorder="1" applyAlignment="1" applyProtection="1">
      <alignment horizontal="center" vertical="center"/>
      <protection hidden="1"/>
    </xf>
    <xf numFmtId="164" fontId="37" fillId="8" borderId="37" xfId="0" applyNumberFormat="1" applyFont="1" applyFill="1" applyBorder="1" applyAlignment="1" applyProtection="1">
      <alignment horizontal="center" vertical="center"/>
      <protection hidden="1"/>
    </xf>
    <xf numFmtId="164" fontId="37" fillId="8" borderId="99" xfId="0" applyNumberFormat="1" applyFont="1" applyFill="1" applyBorder="1" applyAlignment="1" applyProtection="1">
      <alignment horizontal="center" vertical="center"/>
      <protection hidden="1"/>
    </xf>
    <xf numFmtId="164" fontId="37" fillId="8" borderId="1" xfId="0" applyNumberFormat="1" applyFont="1" applyFill="1" applyBorder="1" applyAlignment="1" applyProtection="1">
      <alignment horizontal="center" vertical="center"/>
      <protection hidden="1"/>
    </xf>
    <xf numFmtId="164" fontId="37" fillId="8" borderId="103" xfId="0" applyNumberFormat="1" applyFont="1" applyFill="1" applyBorder="1" applyAlignment="1" applyProtection="1">
      <alignment horizontal="center" vertical="center"/>
      <protection hidden="1"/>
    </xf>
    <xf numFmtId="164" fontId="32" fillId="6" borderId="0" xfId="0" applyNumberFormat="1" applyFont="1" applyFill="1" applyBorder="1" applyAlignment="1" applyProtection="1">
      <alignment horizontal="center" vertical="center"/>
      <protection hidden="1"/>
    </xf>
    <xf numFmtId="0" fontId="14" fillId="0" borderId="0" xfId="0" applyFont="1" applyFill="1" applyBorder="1" applyAlignment="1" applyProtection="1">
      <alignment horizontal="left" vertical="top" wrapText="1"/>
      <protection hidden="1"/>
    </xf>
    <xf numFmtId="37" fontId="7" fillId="0" borderId="0" xfId="0" applyNumberFormat="1" applyFont="1" applyFill="1" applyAlignment="1" applyProtection="1">
      <alignment horizontal="center" vertical="center"/>
      <protection hidden="1"/>
    </xf>
    <xf numFmtId="3" fontId="0" fillId="0" borderId="0" xfId="0" applyNumberFormat="1" applyFill="1" applyAlignment="1" applyProtection="1">
      <alignment horizontal="center" vertical="center"/>
      <protection hidden="1"/>
    </xf>
    <xf numFmtId="164" fontId="15" fillId="4" borderId="95" xfId="0" applyNumberFormat="1" applyFont="1" applyFill="1" applyBorder="1" applyAlignment="1" applyProtection="1">
      <alignment horizontal="center" vertical="center"/>
      <protection hidden="1"/>
    </xf>
    <xf numFmtId="164" fontId="15" fillId="4" borderId="96" xfId="0" applyNumberFormat="1" applyFont="1" applyFill="1" applyBorder="1" applyAlignment="1" applyProtection="1">
      <alignment horizontal="center" vertical="center"/>
      <protection hidden="1"/>
    </xf>
    <xf numFmtId="164" fontId="15" fillId="4" borderId="97" xfId="0" applyNumberFormat="1" applyFont="1" applyFill="1" applyBorder="1" applyAlignment="1" applyProtection="1">
      <alignment horizontal="center" vertical="center"/>
      <protection hidden="1"/>
    </xf>
    <xf numFmtId="164" fontId="14" fillId="4" borderId="95" xfId="0" applyNumberFormat="1" applyFont="1" applyFill="1" applyBorder="1" applyAlignment="1" applyProtection="1">
      <alignment horizontal="center" vertical="center"/>
      <protection hidden="1"/>
    </xf>
    <xf numFmtId="164" fontId="14" fillId="4" borderId="96" xfId="0" applyNumberFormat="1" applyFont="1" applyFill="1" applyBorder="1" applyAlignment="1" applyProtection="1">
      <alignment horizontal="center" vertical="center"/>
      <protection hidden="1"/>
    </xf>
    <xf numFmtId="164" fontId="14" fillId="4" borderId="97" xfId="0" applyNumberFormat="1" applyFont="1" applyFill="1" applyBorder="1" applyAlignment="1" applyProtection="1">
      <alignment horizontal="center" vertical="center"/>
      <protection hidden="1"/>
    </xf>
    <xf numFmtId="37" fontId="7" fillId="0" borderId="24" xfId="0" applyNumberFormat="1" applyFont="1" applyBorder="1" applyAlignment="1" applyProtection="1">
      <alignment horizontal="center" vertical="center"/>
      <protection hidden="1"/>
    </xf>
    <xf numFmtId="164" fontId="32" fillId="6" borderId="108" xfId="0" applyNumberFormat="1" applyFont="1" applyFill="1" applyBorder="1" applyAlignment="1" applyProtection="1">
      <alignment horizontal="center" vertical="center"/>
      <protection hidden="1"/>
    </xf>
    <xf numFmtId="164" fontId="6" fillId="13" borderId="19" xfId="0" applyNumberFormat="1" applyFont="1" applyFill="1" applyBorder="1" applyAlignment="1" applyProtection="1">
      <alignment horizontal="center" vertical="center"/>
      <protection hidden="1"/>
    </xf>
    <xf numFmtId="164" fontId="0" fillId="0" borderId="17" xfId="0" applyNumberFormat="1" applyBorder="1" applyAlignment="1" applyProtection="1">
      <alignment vertical="center"/>
      <protection hidden="1"/>
    </xf>
    <xf numFmtId="164" fontId="0" fillId="0" borderId="18" xfId="0" applyNumberFormat="1" applyBorder="1" applyAlignment="1" applyProtection="1">
      <alignment vertical="center"/>
      <protection hidden="1"/>
    </xf>
    <xf numFmtId="3" fontId="7" fillId="0" borderId="95" xfId="0" applyNumberFormat="1" applyFont="1" applyBorder="1" applyAlignment="1" applyProtection="1">
      <alignment horizontal="center" vertical="center"/>
      <protection hidden="1"/>
    </xf>
    <xf numFmtId="3" fontId="7" fillId="0" borderId="97" xfId="0" applyNumberFormat="1" applyFont="1" applyBorder="1" applyAlignment="1" applyProtection="1">
      <alignment horizontal="center" vertical="center"/>
      <protection hidden="1"/>
    </xf>
    <xf numFmtId="164" fontId="37" fillId="6" borderId="36" xfId="0" applyNumberFormat="1" applyFont="1" applyFill="1" applyBorder="1" applyAlignment="1" applyProtection="1">
      <alignment horizontal="center" vertical="center"/>
      <protection hidden="1"/>
    </xf>
    <xf numFmtId="164" fontId="37" fillId="6" borderId="41" xfId="0" applyNumberFormat="1" applyFont="1" applyFill="1" applyBorder="1" applyAlignment="1" applyProtection="1">
      <alignment horizontal="center" vertical="center"/>
      <protection hidden="1"/>
    </xf>
    <xf numFmtId="164" fontId="37" fillId="6" borderId="37" xfId="0" applyNumberFormat="1" applyFont="1" applyFill="1" applyBorder="1" applyAlignment="1" applyProtection="1">
      <alignment horizontal="center" vertical="center"/>
      <protection hidden="1"/>
    </xf>
    <xf numFmtId="164" fontId="37" fillId="6" borderId="99" xfId="0" applyNumberFormat="1" applyFont="1" applyFill="1" applyBorder="1" applyAlignment="1" applyProtection="1">
      <alignment horizontal="center" vertical="center"/>
      <protection hidden="1"/>
    </xf>
    <xf numFmtId="164" fontId="37" fillId="6" borderId="1" xfId="0" applyNumberFormat="1" applyFont="1" applyFill="1" applyBorder="1" applyAlignment="1" applyProtection="1">
      <alignment horizontal="center" vertical="center"/>
      <protection hidden="1"/>
    </xf>
    <xf numFmtId="164" fontId="37" fillId="6" borderId="103" xfId="0" applyNumberFormat="1" applyFont="1" applyFill="1" applyBorder="1" applyAlignment="1" applyProtection="1">
      <alignment horizontal="center" vertical="center"/>
      <protection hidden="1"/>
    </xf>
    <xf numFmtId="3" fontId="7" fillId="0" borderId="81" xfId="0" applyNumberFormat="1" applyFont="1" applyBorder="1" applyAlignment="1" applyProtection="1">
      <alignment horizontal="center" vertical="center"/>
      <protection hidden="1"/>
    </xf>
    <xf numFmtId="0" fontId="7" fillId="0" borderId="81" xfId="0" applyFont="1" applyBorder="1" applyAlignment="1" applyProtection="1">
      <alignment horizontal="center" vertical="center"/>
      <protection hidden="1"/>
    </xf>
    <xf numFmtId="3" fontId="7" fillId="0" borderId="78" xfId="0" applyNumberFormat="1" applyFont="1" applyFill="1" applyBorder="1" applyAlignment="1" applyProtection="1">
      <alignment horizontal="center" vertical="center"/>
      <protection hidden="1"/>
    </xf>
    <xf numFmtId="3" fontId="7" fillId="0" borderId="80" xfId="0" applyNumberFormat="1" applyFont="1" applyFill="1" applyBorder="1" applyAlignment="1" applyProtection="1">
      <alignment horizontal="center" vertical="center"/>
      <protection hidden="1"/>
    </xf>
    <xf numFmtId="3" fontId="7" fillId="0" borderId="79" xfId="0" applyNumberFormat="1" applyFont="1" applyFill="1" applyBorder="1" applyAlignment="1" applyProtection="1">
      <alignment horizontal="center" vertical="center"/>
      <protection hidden="1"/>
    </xf>
    <xf numFmtId="164" fontId="37" fillId="6" borderId="14" xfId="0" applyNumberFormat="1" applyFont="1" applyFill="1" applyBorder="1" applyAlignment="1" applyProtection="1">
      <alignment horizontal="center" vertical="center"/>
      <protection hidden="1"/>
    </xf>
    <xf numFmtId="164" fontId="37" fillId="6" borderId="2" xfId="0" applyNumberFormat="1" applyFont="1" applyFill="1" applyBorder="1" applyAlignment="1" applyProtection="1">
      <alignment horizontal="center" vertical="center"/>
      <protection hidden="1"/>
    </xf>
    <xf numFmtId="164" fontId="37" fillId="6" borderId="15" xfId="0" applyNumberFormat="1" applyFont="1" applyFill="1" applyBorder="1" applyAlignment="1" applyProtection="1">
      <alignment horizontal="center" vertical="center"/>
      <protection hidden="1"/>
    </xf>
    <xf numFmtId="164" fontId="37" fillId="6" borderId="6" xfId="0" applyNumberFormat="1" applyFont="1" applyFill="1" applyBorder="1" applyAlignment="1" applyProtection="1">
      <alignment horizontal="center" vertical="center"/>
      <protection hidden="1"/>
    </xf>
    <xf numFmtId="164" fontId="37" fillId="6" borderId="7" xfId="0" applyNumberFormat="1" applyFont="1" applyFill="1" applyBorder="1" applyAlignment="1" applyProtection="1">
      <alignment horizontal="center" vertical="center"/>
      <protection hidden="1"/>
    </xf>
    <xf numFmtId="0" fontId="5" fillId="5" borderId="0" xfId="0" applyFont="1" applyFill="1" applyAlignment="1" applyProtection="1">
      <alignment horizontal="center" vertical="center"/>
      <protection hidden="1"/>
    </xf>
    <xf numFmtId="164" fontId="35" fillId="0" borderId="0" xfId="0" quotePrefix="1" applyNumberFormat="1" applyFont="1" applyBorder="1" applyAlignment="1" applyProtection="1">
      <alignment horizontal="center" wrapText="1"/>
      <protection hidden="1"/>
    </xf>
    <xf numFmtId="164" fontId="35" fillId="0" borderId="0" xfId="0" applyNumberFormat="1" applyFont="1" applyBorder="1" applyAlignment="1" applyProtection="1">
      <alignment horizontal="center" wrapText="1"/>
      <protection hidden="1"/>
    </xf>
    <xf numFmtId="164" fontId="37" fillId="6" borderId="0" xfId="0" applyNumberFormat="1" applyFont="1" applyFill="1" applyBorder="1" applyAlignment="1" applyProtection="1">
      <alignment horizontal="center" vertical="center"/>
      <protection hidden="1"/>
    </xf>
    <xf numFmtId="164" fontId="37" fillId="6" borderId="108" xfId="0" applyNumberFormat="1" applyFont="1" applyFill="1" applyBorder="1" applyAlignment="1" applyProtection="1">
      <alignment horizontal="center" vertical="center"/>
      <protection hidden="1"/>
    </xf>
    <xf numFmtId="164" fontId="37" fillId="8" borderId="14" xfId="0" applyNumberFormat="1" applyFont="1" applyFill="1" applyBorder="1" applyAlignment="1" applyProtection="1">
      <alignment horizontal="center" vertical="center"/>
      <protection hidden="1"/>
    </xf>
    <xf numFmtId="164" fontId="37" fillId="8" borderId="2" xfId="0" applyNumberFormat="1" applyFont="1" applyFill="1" applyBorder="1" applyAlignment="1" applyProtection="1">
      <alignment horizontal="center" vertical="center"/>
      <protection hidden="1"/>
    </xf>
    <xf numFmtId="164" fontId="37" fillId="8" borderId="15" xfId="0" applyNumberFormat="1" applyFont="1" applyFill="1" applyBorder="1" applyAlignment="1" applyProtection="1">
      <alignment horizontal="center" vertical="center"/>
      <protection hidden="1"/>
    </xf>
    <xf numFmtId="164" fontId="37" fillId="8" borderId="6" xfId="0" applyNumberFormat="1" applyFont="1" applyFill="1" applyBorder="1" applyAlignment="1" applyProtection="1">
      <alignment horizontal="center" vertical="center"/>
      <protection hidden="1"/>
    </xf>
    <xf numFmtId="164" fontId="37" fillId="8" borderId="7" xfId="0" applyNumberFormat="1" applyFont="1" applyFill="1" applyBorder="1" applyAlignment="1" applyProtection="1">
      <alignment horizontal="center" vertical="center"/>
      <protection hidden="1"/>
    </xf>
    <xf numFmtId="0" fontId="1" fillId="18" borderId="1" xfId="5" applyNumberFormat="1" applyFont="1" applyFill="1" applyBorder="1" applyAlignment="1">
      <alignment wrapText="1"/>
    </xf>
    <xf numFmtId="3" fontId="1" fillId="23" borderId="0" xfId="5" applyNumberFormat="1" applyFont="1" applyFill="1" applyAlignment="1">
      <alignment vertical="top" wrapText="1"/>
    </xf>
    <xf numFmtId="3" fontId="1" fillId="24" borderId="0" xfId="5" applyNumberFormat="1" applyFont="1" applyFill="1" applyAlignment="1">
      <alignment vertical="top" wrapText="1"/>
    </xf>
    <xf numFmtId="3" fontId="1" fillId="26" borderId="0" xfId="5" applyNumberFormat="1" applyFont="1" applyFill="1" applyAlignment="1">
      <alignment vertical="top" wrapText="1"/>
    </xf>
    <xf numFmtId="0" fontId="8" fillId="18" borderId="0" xfId="5" applyNumberFormat="1" applyFont="1" applyFill="1" applyAlignment="1"/>
    <xf numFmtId="0" fontId="1" fillId="18" borderId="0" xfId="5" applyNumberFormat="1" applyFont="1" applyFill="1" applyAlignment="1">
      <alignment horizontal="center" wrapText="1"/>
    </xf>
    <xf numFmtId="0" fontId="6" fillId="0" borderId="0" xfId="5" applyNumberFormat="1" applyFont="1" applyAlignment="1">
      <alignment horizontal="center"/>
    </xf>
    <xf numFmtId="0" fontId="7" fillId="0" borderId="0" xfId="5" applyNumberFormat="1" applyFont="1" applyAlignment="1">
      <alignment horizontal="center" wrapText="1"/>
    </xf>
    <xf numFmtId="0" fontId="7" fillId="0" borderId="0" xfId="0" applyNumberFormat="1" applyFont="1" applyAlignment="1">
      <alignment horizontal="center" wrapText="1"/>
    </xf>
  </cellXfs>
  <cellStyles count="6">
    <cellStyle name="Hyperlink" xfId="1" builtinId="8"/>
    <cellStyle name="Hyperlink 2" xfId="3"/>
    <cellStyle name="Normal" xfId="0" builtinId="0"/>
    <cellStyle name="Normal 2" xfId="2"/>
    <cellStyle name="Normal 3" xfId="4"/>
    <cellStyle name="Normal 4" xfId="5"/>
  </cellStyles>
  <dxfs count="8">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Radio" checked="Checked" firstButton="1" fmlaLink="$I$18"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firstButton="1" fmlaLink="$I$18"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firstButton="1" fmlaLink="$I$18"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I$28" lockText="1" noThreeD="1"/>
</file>

<file path=xl/ctrlProps/ctrlProp8.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xdr:twoCellAnchor>
    <xdr:from>
      <xdr:col>0</xdr:col>
      <xdr:colOff>574221</xdr:colOff>
      <xdr:row>8</xdr:row>
      <xdr:rowOff>127000</xdr:rowOff>
    </xdr:from>
    <xdr:to>
      <xdr:col>8</xdr:col>
      <xdr:colOff>57150</xdr:colOff>
      <xdr:row>28</xdr:row>
      <xdr:rowOff>114300</xdr:rowOff>
    </xdr:to>
    <xdr:sp macro="" textlink="">
      <xdr:nvSpPr>
        <xdr:cNvPr id="2" name="Rectangle 1"/>
        <xdr:cNvSpPr/>
      </xdr:nvSpPr>
      <xdr:spPr bwMode="auto">
        <a:xfrm>
          <a:off x="574221" y="431800"/>
          <a:ext cx="6169479" cy="2854325"/>
        </a:xfrm>
        <a:prstGeom prst="rect">
          <a:avLst/>
        </a:prstGeom>
        <a:noFill/>
        <a:ln w="2857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mc:AlternateContent xmlns:mc="http://schemas.openxmlformats.org/markup-compatibility/2006">
    <mc:Choice xmlns:a14="http://schemas.microsoft.com/office/drawing/2010/main" Requires="a14">
      <xdr:twoCellAnchor editAs="oneCell">
        <xdr:from>
          <xdr:col>3</xdr:col>
          <xdr:colOff>809625</xdr:colOff>
          <xdr:row>16</xdr:row>
          <xdr:rowOff>123825</xdr:rowOff>
        </xdr:from>
        <xdr:to>
          <xdr:col>3</xdr:col>
          <xdr:colOff>1981200</xdr:colOff>
          <xdr:row>18</xdr:row>
          <xdr:rowOff>28575</xdr:rowOff>
        </xdr:to>
        <xdr:sp macro="" textlink="">
          <xdr:nvSpPr>
            <xdr:cNvPr id="3156" name="Option Button 84" hidden="1">
              <a:extLst>
                <a:ext uri="{63B3BB69-23CF-44E3-9099-C40C66FF867C}">
                  <a14:compatExt spid="_x0000_s31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Single Story Building</a:t>
              </a:r>
              <a:endParaRPr lang="en-US"/>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2047875</xdr:colOff>
          <xdr:row>16</xdr:row>
          <xdr:rowOff>114300</xdr:rowOff>
        </xdr:from>
        <xdr:to>
          <xdr:col>5</xdr:col>
          <xdr:colOff>295275</xdr:colOff>
          <xdr:row>18</xdr:row>
          <xdr:rowOff>28575</xdr:rowOff>
        </xdr:to>
        <xdr:sp macro="" textlink="">
          <xdr:nvSpPr>
            <xdr:cNvPr id="3157" name="Option Button 85" hidden="1">
              <a:extLst>
                <a:ext uri="{63B3BB69-23CF-44E3-9099-C40C66FF867C}">
                  <a14:compatExt spid="_x0000_s31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Multistory Building</a:t>
              </a:r>
              <a:endParaRPr lang="en-US"/>
            </a:p>
          </xdr:txBody>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574221</xdr:colOff>
      <xdr:row>8</xdr:row>
      <xdr:rowOff>127000</xdr:rowOff>
    </xdr:from>
    <xdr:to>
      <xdr:col>8</xdr:col>
      <xdr:colOff>57150</xdr:colOff>
      <xdr:row>28</xdr:row>
      <xdr:rowOff>114300</xdr:rowOff>
    </xdr:to>
    <xdr:sp macro="" textlink="">
      <xdr:nvSpPr>
        <xdr:cNvPr id="2" name="Rectangle 1"/>
        <xdr:cNvSpPr/>
      </xdr:nvSpPr>
      <xdr:spPr bwMode="auto">
        <a:xfrm>
          <a:off x="574221" y="1346200"/>
          <a:ext cx="6169479" cy="3035300"/>
        </a:xfrm>
        <a:prstGeom prst="rect">
          <a:avLst/>
        </a:prstGeom>
        <a:noFill/>
        <a:ln w="2857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mc:AlternateContent xmlns:mc="http://schemas.openxmlformats.org/markup-compatibility/2006">
    <mc:Choice xmlns:a14="http://schemas.microsoft.com/office/drawing/2010/main" Requires="a14">
      <xdr:twoCellAnchor editAs="oneCell">
        <xdr:from>
          <xdr:col>3</xdr:col>
          <xdr:colOff>809625</xdr:colOff>
          <xdr:row>16</xdr:row>
          <xdr:rowOff>123825</xdr:rowOff>
        </xdr:from>
        <xdr:to>
          <xdr:col>3</xdr:col>
          <xdr:colOff>1981200</xdr:colOff>
          <xdr:row>18</xdr:row>
          <xdr:rowOff>28575</xdr:rowOff>
        </xdr:to>
        <xdr:sp macro="" textlink="">
          <xdr:nvSpPr>
            <xdr:cNvPr id="6145" name="Option Button 1" hidden="1">
              <a:extLst>
                <a:ext uri="{63B3BB69-23CF-44E3-9099-C40C66FF867C}">
                  <a14:compatExt spid="_x0000_s61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Single Story Building</a:t>
              </a:r>
              <a:endParaRPr 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2047875</xdr:colOff>
          <xdr:row>16</xdr:row>
          <xdr:rowOff>114300</xdr:rowOff>
        </xdr:from>
        <xdr:to>
          <xdr:col>5</xdr:col>
          <xdr:colOff>295275</xdr:colOff>
          <xdr:row>18</xdr:row>
          <xdr:rowOff>28575</xdr:rowOff>
        </xdr:to>
        <xdr:sp macro="" textlink="">
          <xdr:nvSpPr>
            <xdr:cNvPr id="6146" name="Option Button 2" hidden="1">
              <a:extLst>
                <a:ext uri="{63B3BB69-23CF-44E3-9099-C40C66FF867C}">
                  <a14:compatExt spid="_x0000_s614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Multistory Building</a:t>
              </a:r>
              <a:endParaRPr lang="en-US"/>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574221</xdr:colOff>
      <xdr:row>8</xdr:row>
      <xdr:rowOff>127000</xdr:rowOff>
    </xdr:from>
    <xdr:to>
      <xdr:col>8</xdr:col>
      <xdr:colOff>57150</xdr:colOff>
      <xdr:row>28</xdr:row>
      <xdr:rowOff>114300</xdr:rowOff>
    </xdr:to>
    <xdr:sp macro="" textlink="">
      <xdr:nvSpPr>
        <xdr:cNvPr id="2" name="Rectangle 1"/>
        <xdr:cNvSpPr/>
      </xdr:nvSpPr>
      <xdr:spPr bwMode="auto">
        <a:xfrm>
          <a:off x="574221" y="1346200"/>
          <a:ext cx="6169479" cy="3187700"/>
        </a:xfrm>
        <a:prstGeom prst="rect">
          <a:avLst/>
        </a:prstGeom>
        <a:noFill/>
        <a:ln w="2857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mc:AlternateContent xmlns:mc="http://schemas.openxmlformats.org/markup-compatibility/2006">
    <mc:Choice xmlns:a14="http://schemas.microsoft.com/office/drawing/2010/main" Requires="a14">
      <xdr:twoCellAnchor editAs="oneCell">
        <xdr:from>
          <xdr:col>3</xdr:col>
          <xdr:colOff>809625</xdr:colOff>
          <xdr:row>16</xdr:row>
          <xdr:rowOff>123825</xdr:rowOff>
        </xdr:from>
        <xdr:to>
          <xdr:col>3</xdr:col>
          <xdr:colOff>1981200</xdr:colOff>
          <xdr:row>18</xdr:row>
          <xdr:rowOff>28575</xdr:rowOff>
        </xdr:to>
        <xdr:sp macro="" textlink="">
          <xdr:nvSpPr>
            <xdr:cNvPr id="16385" name="Option Button 1" hidden="1">
              <a:extLst>
                <a:ext uri="{63B3BB69-23CF-44E3-9099-C40C66FF867C}">
                  <a14:compatExt spid="_x0000_s1638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Single Story Building</a:t>
              </a:r>
              <a:endParaRPr 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2047875</xdr:colOff>
          <xdr:row>16</xdr:row>
          <xdr:rowOff>114300</xdr:rowOff>
        </xdr:from>
        <xdr:to>
          <xdr:col>5</xdr:col>
          <xdr:colOff>295275</xdr:colOff>
          <xdr:row>18</xdr:row>
          <xdr:rowOff>28575</xdr:rowOff>
        </xdr:to>
        <xdr:sp macro="" textlink="">
          <xdr:nvSpPr>
            <xdr:cNvPr id="16386" name="Option Button 2" hidden="1">
              <a:extLst>
                <a:ext uri="{63B3BB69-23CF-44E3-9099-C40C66FF867C}">
                  <a14:compatExt spid="_x0000_s1638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Multistory Building</a:t>
              </a:r>
              <a:endParaRPr lang="en-US"/>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574221</xdr:colOff>
      <xdr:row>8</xdr:row>
      <xdr:rowOff>126999</xdr:rowOff>
    </xdr:from>
    <xdr:to>
      <xdr:col>8</xdr:col>
      <xdr:colOff>57150</xdr:colOff>
      <xdr:row>38</xdr:row>
      <xdr:rowOff>66674</xdr:rowOff>
    </xdr:to>
    <xdr:sp macro="" textlink="">
      <xdr:nvSpPr>
        <xdr:cNvPr id="2" name="Rectangle 1"/>
        <xdr:cNvSpPr/>
      </xdr:nvSpPr>
      <xdr:spPr bwMode="auto">
        <a:xfrm>
          <a:off x="574221" y="1346199"/>
          <a:ext cx="6169479" cy="4511675"/>
        </a:xfrm>
        <a:prstGeom prst="rect">
          <a:avLst/>
        </a:prstGeom>
        <a:noFill/>
        <a:ln w="2857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lang="en-US" sz="1100"/>
        </a:p>
      </xdr:txBody>
    </xdr:sp>
    <xdr:clientData/>
  </xdr:twoCellAnchor>
  <mc:AlternateContent xmlns:mc="http://schemas.openxmlformats.org/markup-compatibility/2006">
    <mc:Choice xmlns:a14="http://schemas.microsoft.com/office/drawing/2010/main" Requires="a14">
      <xdr:twoCellAnchor editAs="oneCell">
        <xdr:from>
          <xdr:col>3</xdr:col>
          <xdr:colOff>809625</xdr:colOff>
          <xdr:row>26</xdr:row>
          <xdr:rowOff>104775</xdr:rowOff>
        </xdr:from>
        <xdr:to>
          <xdr:col>3</xdr:col>
          <xdr:colOff>1981200</xdr:colOff>
          <xdr:row>28</xdr:row>
          <xdr:rowOff>47625</xdr:rowOff>
        </xdr:to>
        <xdr:sp macro="" textlink="">
          <xdr:nvSpPr>
            <xdr:cNvPr id="20481" name="Option Button 1" hidden="1">
              <a:extLst>
                <a:ext uri="{63B3BB69-23CF-44E3-9099-C40C66FF867C}">
                  <a14:compatExt spid="_x0000_s204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Single Story Building</a:t>
              </a:r>
              <a:endParaRPr 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2047875</xdr:colOff>
          <xdr:row>26</xdr:row>
          <xdr:rowOff>104775</xdr:rowOff>
        </xdr:from>
        <xdr:to>
          <xdr:col>5</xdr:col>
          <xdr:colOff>276225</xdr:colOff>
          <xdr:row>28</xdr:row>
          <xdr:rowOff>66675</xdr:rowOff>
        </xdr:to>
        <xdr:sp macro="" textlink="">
          <xdr:nvSpPr>
            <xdr:cNvPr id="20482" name="Option Button 2" hidden="1">
              <a:extLst>
                <a:ext uri="{63B3BB69-23CF-44E3-9099-C40C66FF867C}">
                  <a14:compatExt spid="_x0000_s2048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Multistory Building</a:t>
              </a:r>
              <a:endParaRPr lang="en-US"/>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ransitionEvaluation="1" enableFormatConditionsCalculation="0">
    <tabColor indexed="43"/>
  </sheetPr>
  <dimension ref="A1:BK483"/>
  <sheetViews>
    <sheetView tabSelected="1" defaultGridColor="0" colorId="22" zoomScale="118" zoomScaleNormal="118" zoomScalePageLayoutView="118" workbookViewId="0">
      <selection activeCell="G14" sqref="G14:H14"/>
    </sheetView>
  </sheetViews>
  <sheetFormatPr defaultColWidth="8.85546875" defaultRowHeight="12.75" x14ac:dyDescent="0.2"/>
  <cols>
    <col min="1" max="1" width="8.7109375" style="1" customWidth="1"/>
    <col min="2" max="2" width="1.140625" style="1" customWidth="1"/>
    <col min="3" max="3" width="10.42578125" style="1" customWidth="1"/>
    <col min="4" max="4" width="31.85546875" style="1" customWidth="1"/>
    <col min="5" max="6" width="10.28515625" style="1" customWidth="1"/>
    <col min="7" max="7" width="10" style="1" customWidth="1"/>
    <col min="8" max="8" width="18.42578125" style="1" customWidth="1"/>
    <col min="9" max="9" width="10.28515625" style="1" customWidth="1"/>
    <col min="10" max="11" width="8.85546875" style="1"/>
    <col min="12" max="12" width="9.7109375" style="1" bestFit="1" customWidth="1"/>
    <col min="13" max="13" width="8.85546875" style="1"/>
    <col min="14" max="14" width="8.85546875" style="4"/>
    <col min="15" max="18" width="8.85546875" style="1" hidden="1" customWidth="1"/>
    <col min="19" max="19" width="26.42578125" style="1" hidden="1" customWidth="1"/>
    <col min="20" max="37" width="11.28515625" style="1" hidden="1" customWidth="1"/>
    <col min="38" max="38" width="29.42578125" style="1" hidden="1" customWidth="1"/>
    <col min="39" max="51" width="11.28515625" style="1" hidden="1" customWidth="1"/>
    <col min="52" max="52" width="5.7109375" style="1" hidden="1" customWidth="1"/>
    <col min="53" max="55" width="11.28515625" style="1" hidden="1" customWidth="1"/>
    <col min="56" max="63" width="8.85546875" style="1" hidden="1" customWidth="1"/>
    <col min="64" max="75" width="8.85546875" style="1" customWidth="1"/>
    <col min="76" max="16384" width="8.85546875" style="1"/>
  </cols>
  <sheetData>
    <row r="1" spans="1:53" ht="12" customHeight="1" x14ac:dyDescent="0.2">
      <c r="A1" s="886" t="s">
        <v>49</v>
      </c>
      <c r="B1" s="886"/>
      <c r="C1" s="886"/>
      <c r="D1" s="886"/>
      <c r="E1" s="886"/>
      <c r="F1" s="886"/>
      <c r="G1" s="886"/>
      <c r="H1" s="886"/>
      <c r="I1" s="886"/>
      <c r="J1" s="886"/>
      <c r="K1" s="886"/>
      <c r="L1" s="886"/>
      <c r="M1" s="886"/>
      <c r="N1" s="653"/>
      <c r="O1" s="2"/>
      <c r="P1" s="2"/>
      <c r="Q1" s="2"/>
      <c r="R1" s="2"/>
      <c r="S1" s="2"/>
      <c r="T1" s="2"/>
      <c r="U1" s="2"/>
      <c r="V1" s="2"/>
      <c r="W1" s="2"/>
      <c r="X1" s="2"/>
      <c r="Y1" s="2"/>
      <c r="Z1" s="2"/>
      <c r="AA1" s="2"/>
      <c r="AB1" s="2"/>
      <c r="AC1" s="2"/>
      <c r="AD1" s="2"/>
      <c r="AE1" s="2"/>
      <c r="AF1" s="2"/>
      <c r="AG1" s="2"/>
      <c r="AH1" s="2"/>
      <c r="AI1" s="2"/>
    </row>
    <row r="2" spans="1:53" ht="12" customHeight="1" thickBot="1" x14ac:dyDescent="0.25">
      <c r="A2" s="5" t="s">
        <v>37</v>
      </c>
      <c r="B2" s="5"/>
      <c r="C2" s="6"/>
      <c r="D2" s="7"/>
      <c r="E2" s="7"/>
      <c r="F2" s="8"/>
      <c r="G2" s="9"/>
      <c r="H2" s="6"/>
      <c r="I2" s="8"/>
      <c r="J2" s="8"/>
      <c r="K2" s="8"/>
      <c r="L2" s="8"/>
      <c r="M2" s="10" t="s">
        <v>44</v>
      </c>
      <c r="N2" s="538"/>
      <c r="O2" s="2"/>
      <c r="P2" s="2"/>
      <c r="Q2" s="2"/>
      <c r="R2" s="275"/>
      <c r="S2" s="274"/>
      <c r="T2" s="274"/>
      <c r="U2" s="274"/>
      <c r="V2" s="274"/>
      <c r="Y2" s="2"/>
      <c r="Z2" s="2"/>
      <c r="AA2" s="2"/>
      <c r="AB2" s="2"/>
      <c r="AC2" s="18"/>
    </row>
    <row r="3" spans="1:53" ht="12" customHeight="1" x14ac:dyDescent="0.2">
      <c r="A3" s="11"/>
      <c r="B3" s="11"/>
      <c r="C3" s="12"/>
      <c r="D3" s="15"/>
      <c r="E3" s="15"/>
      <c r="F3" s="12"/>
      <c r="G3" s="273"/>
      <c r="H3" s="12"/>
      <c r="I3" s="12"/>
      <c r="J3" s="12"/>
      <c r="K3" s="12"/>
      <c r="L3" s="12"/>
      <c r="M3" s="273"/>
      <c r="N3" s="538"/>
      <c r="O3" s="2"/>
      <c r="P3" s="2"/>
      <c r="Q3" s="2"/>
      <c r="R3" s="275"/>
      <c r="S3" s="274"/>
      <c r="T3" s="274"/>
      <c r="U3" s="274"/>
      <c r="V3" s="274"/>
      <c r="Y3" s="2"/>
      <c r="Z3" s="2"/>
      <c r="AA3" s="2"/>
      <c r="AB3" s="2"/>
      <c r="AC3" s="18"/>
    </row>
    <row r="4" spans="1:53" ht="12" customHeight="1" thickBot="1" x14ac:dyDescent="0.25">
      <c r="A4" s="893" t="s">
        <v>425</v>
      </c>
      <c r="B4" s="893"/>
      <c r="C4" s="893"/>
      <c r="D4" s="893"/>
      <c r="E4" s="893"/>
      <c r="F4" s="893"/>
      <c r="G4" s="893"/>
      <c r="H4" s="893"/>
      <c r="I4" s="893"/>
      <c r="J4" s="893"/>
      <c r="K4" s="893"/>
      <c r="L4" s="893"/>
      <c r="M4" s="893"/>
      <c r="N4" s="539"/>
      <c r="O4" s="2"/>
      <c r="P4" s="2"/>
      <c r="Q4" s="2"/>
      <c r="R4" s="275"/>
      <c r="S4" s="274"/>
      <c r="T4" s="274"/>
      <c r="U4" s="274"/>
      <c r="V4" s="274"/>
      <c r="Y4" s="2"/>
      <c r="Z4" s="2"/>
      <c r="AA4" s="2"/>
      <c r="AB4" s="2"/>
      <c r="AC4" s="18"/>
    </row>
    <row r="5" spans="1:53" ht="12" customHeight="1" thickBot="1" x14ac:dyDescent="0.25">
      <c r="A5" s="893"/>
      <c r="B5" s="893"/>
      <c r="C5" s="893"/>
      <c r="D5" s="893"/>
      <c r="E5" s="893"/>
      <c r="F5" s="893"/>
      <c r="G5" s="893"/>
      <c r="H5" s="893"/>
      <c r="I5" s="893"/>
      <c r="J5" s="893"/>
      <c r="K5" s="893"/>
      <c r="L5" s="893"/>
      <c r="M5" s="893"/>
      <c r="N5" s="539"/>
      <c r="O5" s="2"/>
      <c r="P5" s="2"/>
      <c r="Q5" s="2"/>
      <c r="R5" s="274"/>
      <c r="S5" s="274"/>
      <c r="T5" s="274"/>
      <c r="U5" s="274"/>
      <c r="V5" s="274"/>
      <c r="Y5" s="2"/>
      <c r="Z5" s="2"/>
      <c r="AA5" s="2"/>
      <c r="AB5" s="2"/>
      <c r="AC5" s="18"/>
      <c r="AK5" s="654" t="s">
        <v>864</v>
      </c>
      <c r="AL5" s="655"/>
      <c r="AM5" s="656" t="s">
        <v>865</v>
      </c>
      <c r="AN5" s="656" t="s">
        <v>866</v>
      </c>
      <c r="AO5" s="656" t="s">
        <v>867</v>
      </c>
      <c r="AP5" s="656" t="s">
        <v>868</v>
      </c>
      <c r="AQ5" s="656" t="s">
        <v>869</v>
      </c>
      <c r="AR5" s="657" t="s">
        <v>870</v>
      </c>
      <c r="AS5" s="658"/>
      <c r="AT5" s="659"/>
      <c r="AU5" s="659"/>
      <c r="AV5" s="659"/>
      <c r="AW5" s="659"/>
      <c r="AX5" s="659"/>
      <c r="AY5" s="659"/>
    </row>
    <row r="6" spans="1:53" ht="12" customHeight="1" thickBot="1" x14ac:dyDescent="0.25">
      <c r="A6" s="893"/>
      <c r="B6" s="893"/>
      <c r="C6" s="893"/>
      <c r="D6" s="893"/>
      <c r="E6" s="893"/>
      <c r="F6" s="893"/>
      <c r="G6" s="893"/>
      <c r="H6" s="893"/>
      <c r="I6" s="893"/>
      <c r="J6" s="893"/>
      <c r="K6" s="893"/>
      <c r="L6" s="893"/>
      <c r="M6" s="893"/>
      <c r="N6" s="539"/>
      <c r="O6" s="2"/>
      <c r="P6" s="2"/>
      <c r="Q6" s="2"/>
      <c r="R6" s="274"/>
      <c r="S6" s="274"/>
      <c r="T6" s="274"/>
      <c r="U6" s="274"/>
      <c r="V6" s="274"/>
      <c r="Y6" s="2"/>
      <c r="Z6" s="2"/>
      <c r="AA6" s="2"/>
      <c r="AB6" s="2"/>
      <c r="AC6" s="18"/>
      <c r="AK6" s="660"/>
      <c r="AL6" s="661"/>
      <c r="AM6" s="662" t="s">
        <v>38</v>
      </c>
      <c r="AN6" s="662" t="s">
        <v>38</v>
      </c>
      <c r="AO6" s="662" t="s">
        <v>38</v>
      </c>
      <c r="AP6" s="662" t="s">
        <v>38</v>
      </c>
      <c r="AQ6" s="662" t="s">
        <v>38</v>
      </c>
      <c r="AR6" s="662" t="s">
        <v>38</v>
      </c>
      <c r="AS6" s="658"/>
      <c r="AT6" s="663"/>
      <c r="AU6" s="659"/>
      <c r="AV6" s="659"/>
      <c r="AW6" s="659"/>
      <c r="AX6" s="659"/>
      <c r="AY6" s="659"/>
    </row>
    <row r="7" spans="1:53" ht="12" customHeight="1" thickBot="1" x14ac:dyDescent="0.25">
      <c r="A7" s="893"/>
      <c r="B7" s="893"/>
      <c r="C7" s="893"/>
      <c r="D7" s="893"/>
      <c r="E7" s="893"/>
      <c r="F7" s="893"/>
      <c r="G7" s="893"/>
      <c r="H7" s="893"/>
      <c r="I7" s="893"/>
      <c r="J7" s="893"/>
      <c r="K7" s="893"/>
      <c r="L7" s="893"/>
      <c r="M7" s="893"/>
      <c r="N7" s="539"/>
      <c r="O7" s="2"/>
      <c r="P7" s="2"/>
      <c r="Q7" s="2"/>
      <c r="R7" s="274"/>
      <c r="S7" s="274"/>
      <c r="T7" s="274"/>
      <c r="U7" s="274"/>
      <c r="V7" s="274"/>
      <c r="Y7" s="2"/>
      <c r="Z7" s="2"/>
      <c r="AA7" s="2"/>
      <c r="AB7" s="2"/>
      <c r="AC7" s="18"/>
      <c r="AK7" s="664" t="s">
        <v>871</v>
      </c>
      <c r="AL7" s="665"/>
      <c r="AM7" s="666"/>
      <c r="AN7" s="666"/>
      <c r="AO7" s="666"/>
      <c r="AP7" s="667"/>
      <c r="AQ7" s="667"/>
      <c r="AR7" s="667"/>
      <c r="AS7" s="658"/>
      <c r="AT7" s="659"/>
      <c r="AU7" s="659"/>
      <c r="AV7" s="659"/>
      <c r="AW7" s="659"/>
      <c r="AX7" s="659"/>
      <c r="AY7" s="659"/>
    </row>
    <row r="8" spans="1:53" ht="12" customHeight="1" thickBot="1" x14ac:dyDescent="0.25">
      <c r="A8" s="893"/>
      <c r="B8" s="893"/>
      <c r="C8" s="893"/>
      <c r="D8" s="893"/>
      <c r="E8" s="893"/>
      <c r="F8" s="893"/>
      <c r="G8" s="893"/>
      <c r="H8" s="893"/>
      <c r="I8" s="893"/>
      <c r="J8" s="893"/>
      <c r="K8" s="893"/>
      <c r="L8" s="893"/>
      <c r="M8" s="893"/>
      <c r="N8" s="539"/>
      <c r="O8" s="2"/>
      <c r="P8" s="2"/>
      <c r="Q8" s="2"/>
      <c r="R8" s="887" t="s">
        <v>243</v>
      </c>
      <c r="S8" s="888"/>
      <c r="T8" s="888"/>
      <c r="U8" s="888"/>
      <c r="V8" s="889"/>
      <c r="Y8" s="2"/>
      <c r="Z8" s="2"/>
      <c r="AA8" s="2"/>
      <c r="AB8" s="2"/>
      <c r="AC8" s="18"/>
      <c r="AK8" s="664" t="s">
        <v>872</v>
      </c>
      <c r="AL8" s="668"/>
      <c r="AM8" s="669">
        <v>400</v>
      </c>
      <c r="AN8" s="669">
        <v>550</v>
      </c>
      <c r="AO8" s="669">
        <v>700</v>
      </c>
      <c r="AP8" s="670">
        <v>1000</v>
      </c>
      <c r="AQ8" s="670">
        <v>1500</v>
      </c>
      <c r="AR8" s="670">
        <v>2000</v>
      </c>
      <c r="AS8" s="658"/>
      <c r="AT8" s="656" t="s">
        <v>865</v>
      </c>
      <c r="AU8" s="656" t="s">
        <v>866</v>
      </c>
      <c r="AV8" s="656" t="s">
        <v>867</v>
      </c>
      <c r="AW8" s="656" t="s">
        <v>868</v>
      </c>
      <c r="AX8" s="656" t="s">
        <v>869</v>
      </c>
      <c r="AY8" s="656" t="s">
        <v>870</v>
      </c>
    </row>
    <row r="9" spans="1:53" ht="12" customHeight="1" thickBot="1" x14ac:dyDescent="0.25">
      <c r="A9" s="14"/>
      <c r="B9" s="14"/>
      <c r="C9" s="15"/>
      <c r="D9" s="16"/>
      <c r="E9" s="16"/>
      <c r="F9" s="16"/>
      <c r="G9" s="16"/>
      <c r="H9" s="16"/>
      <c r="I9" s="16"/>
      <c r="J9" s="2"/>
      <c r="K9" s="2"/>
      <c r="L9" s="2"/>
      <c r="M9" s="2"/>
      <c r="N9" s="3"/>
      <c r="O9" s="2"/>
      <c r="P9" s="2"/>
      <c r="Q9" s="2"/>
      <c r="R9" s="890"/>
      <c r="S9" s="891"/>
      <c r="T9" s="891"/>
      <c r="U9" s="891"/>
      <c r="V9" s="892"/>
      <c r="W9" s="2"/>
      <c r="X9" s="2"/>
      <c r="Y9" s="2"/>
      <c r="Z9" s="2"/>
      <c r="AA9" s="2"/>
      <c r="AB9" s="2"/>
      <c r="AC9" s="18"/>
      <c r="AK9" s="664" t="s">
        <v>873</v>
      </c>
      <c r="AL9" s="668"/>
      <c r="AM9" s="671">
        <v>125</v>
      </c>
      <c r="AN9" s="671">
        <v>117.30909090909091</v>
      </c>
      <c r="AO9" s="671">
        <v>115.6</v>
      </c>
      <c r="AP9" s="671">
        <v>109.163</v>
      </c>
      <c r="AQ9" s="671">
        <v>105.92533333333333</v>
      </c>
      <c r="AR9" s="671">
        <v>104.1915</v>
      </c>
      <c r="AS9" s="658"/>
      <c r="AT9" s="659"/>
      <c r="AU9" s="659"/>
      <c r="AV9" s="659"/>
      <c r="AW9" s="659"/>
      <c r="AX9" s="659"/>
      <c r="AY9" s="659"/>
    </row>
    <row r="10" spans="1:53" ht="12" customHeight="1" x14ac:dyDescent="0.2">
      <c r="A10" s="2"/>
      <c r="B10" s="2"/>
      <c r="C10" s="3"/>
      <c r="D10" s="3"/>
      <c r="E10" s="276" t="s">
        <v>50</v>
      </c>
      <c r="F10" s="3"/>
      <c r="G10" s="3"/>
      <c r="H10" s="3"/>
      <c r="I10" s="2"/>
      <c r="J10" s="2"/>
      <c r="K10" s="2"/>
      <c r="L10" s="2"/>
      <c r="M10" s="2"/>
      <c r="N10" s="3"/>
      <c r="O10" s="2"/>
      <c r="P10" s="2"/>
      <c r="Q10" s="2"/>
      <c r="R10" s="310"/>
      <c r="S10" s="96"/>
      <c r="T10" s="97" t="s">
        <v>33</v>
      </c>
      <c r="U10" s="97"/>
      <c r="V10" s="380"/>
      <c r="W10" s="2"/>
      <c r="X10" s="2"/>
      <c r="Y10" s="2"/>
      <c r="Z10" s="2"/>
      <c r="AA10" s="2"/>
      <c r="AB10" s="2"/>
      <c r="AC10" s="18"/>
      <c r="AK10" s="672" t="s">
        <v>874</v>
      </c>
      <c r="AL10" s="666"/>
      <c r="AM10" s="673">
        <v>50000</v>
      </c>
      <c r="AN10" s="674">
        <v>64520</v>
      </c>
      <c r="AO10" s="674">
        <v>80920</v>
      </c>
      <c r="AP10" s="674">
        <v>109163</v>
      </c>
      <c r="AQ10" s="674">
        <v>158888</v>
      </c>
      <c r="AR10" s="674">
        <v>208383</v>
      </c>
      <c r="AS10" s="658"/>
      <c r="AT10" s="675"/>
      <c r="AU10" s="659"/>
      <c r="AV10" s="659"/>
      <c r="AW10" s="659"/>
      <c r="AX10" s="659"/>
      <c r="AY10" s="659"/>
    </row>
    <row r="11" spans="1:53" ht="12" customHeight="1" thickBot="1" x14ac:dyDescent="0.25">
      <c r="A11" s="2"/>
      <c r="B11" s="2"/>
      <c r="C11" s="902" t="s">
        <v>180</v>
      </c>
      <c r="D11" s="902"/>
      <c r="E11" s="902"/>
      <c r="F11" s="902"/>
      <c r="G11" s="902"/>
      <c r="H11" s="902"/>
      <c r="I11" s="2"/>
      <c r="J11" s="2"/>
      <c r="K11" s="913" t="s">
        <v>181</v>
      </c>
      <c r="L11" s="913"/>
      <c r="M11" s="913"/>
      <c r="N11" s="540"/>
      <c r="O11" s="2"/>
      <c r="P11" s="2"/>
      <c r="Q11" s="2"/>
      <c r="R11" s="312" t="s">
        <v>121</v>
      </c>
      <c r="S11" s="99"/>
      <c r="T11" s="100" t="s">
        <v>122</v>
      </c>
      <c r="U11" s="100" t="s">
        <v>38</v>
      </c>
      <c r="V11" s="313" t="s">
        <v>123</v>
      </c>
      <c r="W11" s="2"/>
      <c r="X11" s="2"/>
      <c r="Y11" s="2"/>
      <c r="Z11" s="2"/>
      <c r="AA11" s="2"/>
      <c r="AB11" s="2"/>
      <c r="AC11" s="18"/>
      <c r="AK11" s="676" t="s">
        <v>14</v>
      </c>
      <c r="AL11" s="677"/>
      <c r="AM11" s="678"/>
      <c r="AN11" s="678"/>
      <c r="AO11" s="678"/>
      <c r="AP11" s="679"/>
      <c r="AQ11" s="679"/>
      <c r="AR11" s="679"/>
      <c r="AS11" s="658"/>
      <c r="AT11" s="659"/>
      <c r="AU11" s="659"/>
      <c r="AV11" s="659"/>
      <c r="AW11" s="659"/>
      <c r="AX11" s="659"/>
      <c r="AY11" s="659"/>
    </row>
    <row r="12" spans="1:53" ht="12" customHeight="1" x14ac:dyDescent="0.2">
      <c r="A12" s="2"/>
      <c r="B12" s="2"/>
      <c r="C12" s="902"/>
      <c r="D12" s="902"/>
      <c r="E12" s="902"/>
      <c r="F12" s="902"/>
      <c r="G12" s="902"/>
      <c r="H12" s="902"/>
      <c r="I12" s="2"/>
      <c r="J12" s="2"/>
      <c r="K12" s="913"/>
      <c r="L12" s="913"/>
      <c r="M12" s="913"/>
      <c r="N12" s="540"/>
      <c r="O12" s="2"/>
      <c r="P12" s="2"/>
      <c r="Q12" s="2"/>
      <c r="R12" s="317" t="s">
        <v>244</v>
      </c>
      <c r="S12" s="22" t="s">
        <v>245</v>
      </c>
      <c r="T12" s="102">
        <v>1</v>
      </c>
      <c r="U12" s="103">
        <f>IF($G$15&lt;=400,T35,(IF($G$15&lt;=550,T36,(IF($G$15&lt;=700,T37,(IF($G$15&lt;=1000,T38,(IF($G$15&lt;=1500,T39,(IF($G$15&gt;1500,T40)))))))))))</f>
        <v>2400</v>
      </c>
      <c r="V12" s="315">
        <f t="shared" ref="V12:V20" si="0">T12*U12</f>
        <v>2400</v>
      </c>
      <c r="W12" s="2"/>
      <c r="X12" s="2"/>
      <c r="Y12" s="2"/>
      <c r="Z12" s="2"/>
      <c r="AA12" s="2"/>
      <c r="AB12" s="2"/>
      <c r="AC12" s="18"/>
      <c r="AK12" s="664" t="s">
        <v>53</v>
      </c>
      <c r="AL12" s="668" t="s">
        <v>16</v>
      </c>
      <c r="AM12" s="669">
        <v>16680</v>
      </c>
      <c r="AN12" s="669">
        <v>23500.01</v>
      </c>
      <c r="AO12" s="669">
        <v>29060</v>
      </c>
      <c r="AP12" s="679">
        <v>42280</v>
      </c>
      <c r="AQ12" s="679">
        <v>62640</v>
      </c>
      <c r="AR12" s="679">
        <v>82280</v>
      </c>
      <c r="AS12" s="658"/>
      <c r="AT12" s="680">
        <v>41.7</v>
      </c>
      <c r="AU12" s="680">
        <v>42.727290909090904</v>
      </c>
      <c r="AV12" s="680">
        <v>41.514285714285712</v>
      </c>
      <c r="AW12" s="680">
        <v>42.28</v>
      </c>
      <c r="AX12" s="680">
        <v>41.76</v>
      </c>
      <c r="AY12" s="680">
        <v>41.14</v>
      </c>
      <c r="BA12" s="1">
        <f>SUM(AT12:AY12)/6</f>
        <v>41.853596103896102</v>
      </c>
    </row>
    <row r="13" spans="1:53" ht="12" customHeight="1" x14ac:dyDescent="0.2">
      <c r="A13" s="2"/>
      <c r="B13" s="2"/>
      <c r="C13" s="2"/>
      <c r="D13" s="2"/>
      <c r="E13" s="15"/>
      <c r="F13" s="15"/>
      <c r="G13" s="15"/>
      <c r="H13" s="15"/>
      <c r="I13" s="2"/>
      <c r="J13" s="2"/>
      <c r="K13" s="2"/>
      <c r="L13" s="2"/>
      <c r="M13" s="2"/>
      <c r="N13" s="3"/>
      <c r="O13" s="2"/>
      <c r="P13" s="2"/>
      <c r="Q13" s="2"/>
      <c r="R13" s="314" t="s">
        <v>244</v>
      </c>
      <c r="S13" s="22" t="s">
        <v>246</v>
      </c>
      <c r="T13" s="102">
        <v>1</v>
      </c>
      <c r="U13" s="103">
        <f>IF($G$15&lt;=400,U35,(IF($G$15&lt;=550,U36,(IF($G$15&lt;=700,U37,(IF($G$15&lt;=1000,U38,(IF($G$15&lt;=1500,U39,(IF($G$15&gt;1500,U40)))))))))))</f>
        <v>2400</v>
      </c>
      <c r="V13" s="315">
        <f>T13*U13</f>
        <v>2400</v>
      </c>
      <c r="W13" s="2"/>
      <c r="X13" s="2"/>
      <c r="Y13" s="2"/>
      <c r="Z13" s="2"/>
      <c r="AA13" s="2"/>
      <c r="AB13" s="2"/>
      <c r="AC13" s="18"/>
      <c r="AK13" s="664" t="s">
        <v>54</v>
      </c>
      <c r="AL13" s="668" t="s">
        <v>18</v>
      </c>
      <c r="AM13" s="669">
        <v>1150</v>
      </c>
      <c r="AN13" s="669">
        <v>1750</v>
      </c>
      <c r="AO13" s="669">
        <v>2300</v>
      </c>
      <c r="AP13" s="679">
        <v>3100</v>
      </c>
      <c r="AQ13" s="679">
        <v>4900</v>
      </c>
      <c r="AR13" s="679">
        <v>6650</v>
      </c>
      <c r="AS13" s="658"/>
      <c r="AT13" s="680">
        <v>2.875</v>
      </c>
      <c r="AU13" s="680">
        <v>3.1818181818181817</v>
      </c>
      <c r="AV13" s="680">
        <v>3.2857142857142856</v>
      </c>
      <c r="AW13" s="680">
        <v>3.1</v>
      </c>
      <c r="AX13" s="680">
        <v>3.2666666666666666</v>
      </c>
      <c r="AY13" s="680">
        <v>3.3250000000000002</v>
      </c>
      <c r="BA13" s="1">
        <f t="shared" ref="BA13:BA20" si="1">SUM(AT13:AY13)/6</f>
        <v>3.1723665223665223</v>
      </c>
    </row>
    <row r="14" spans="1:53" s="2" customFormat="1" ht="12" customHeight="1" x14ac:dyDescent="0.2">
      <c r="E14" s="15"/>
      <c r="F14" s="20" t="s">
        <v>45</v>
      </c>
      <c r="G14" s="903" t="s">
        <v>170</v>
      </c>
      <c r="H14" s="904"/>
      <c r="I14" s="768" t="s">
        <v>376</v>
      </c>
      <c r="K14" s="914" t="str">
        <f>G14</f>
        <v>K-5</v>
      </c>
      <c r="L14" s="915"/>
      <c r="M14" s="916"/>
      <c r="N14" s="541"/>
      <c r="R14" s="314" t="s">
        <v>247</v>
      </c>
      <c r="S14" s="22" t="s">
        <v>248</v>
      </c>
      <c r="T14" s="102">
        <v>1</v>
      </c>
      <c r="U14" s="103">
        <f>IF($G$15&lt;=400,V35,(IF($G$15&lt;=550,V36,(IF($G$15&lt;=700,V37,(IF($G$15&lt;=1000,V38,(IF($G$15&lt;=1500,V39,(IF($G$15&gt;1500,V40)))))))))))</f>
        <v>120</v>
      </c>
      <c r="V14" s="315">
        <f t="shared" si="0"/>
        <v>120</v>
      </c>
      <c r="AC14" s="18"/>
      <c r="AK14" s="664" t="s">
        <v>55</v>
      </c>
      <c r="AL14" s="668" t="s">
        <v>20</v>
      </c>
      <c r="AM14" s="669"/>
      <c r="AN14" s="669"/>
      <c r="AO14" s="669"/>
      <c r="AP14" s="679">
        <v>3615</v>
      </c>
      <c r="AQ14" s="679">
        <v>5530</v>
      </c>
      <c r="AR14" s="679">
        <v>6340</v>
      </c>
      <c r="AS14" s="658"/>
      <c r="AT14" s="680">
        <v>5.4312500000000004</v>
      </c>
      <c r="AU14" s="680">
        <v>4.6709090909090909</v>
      </c>
      <c r="AV14" s="680">
        <v>5.0264285714285712</v>
      </c>
      <c r="AW14" s="680">
        <v>3.6150000000000002</v>
      </c>
      <c r="AX14" s="680">
        <v>3.6866666666666665</v>
      </c>
      <c r="AY14" s="680">
        <v>3.17</v>
      </c>
      <c r="BA14" s="1">
        <f t="shared" si="1"/>
        <v>4.2667090548340552</v>
      </c>
    </row>
    <row r="15" spans="1:53" s="2" customFormat="1" ht="12" customHeight="1" x14ac:dyDescent="0.2">
      <c r="C15" s="23"/>
      <c r="D15" s="15"/>
      <c r="E15" s="15"/>
      <c r="F15" s="89" t="s">
        <v>369</v>
      </c>
      <c r="G15" s="905">
        <v>550</v>
      </c>
      <c r="H15" s="906"/>
      <c r="I15" s="768" t="s">
        <v>377</v>
      </c>
      <c r="K15" s="941">
        <f>G15</f>
        <v>550</v>
      </c>
      <c r="L15" s="942"/>
      <c r="M15" s="943"/>
      <c r="N15" s="542"/>
      <c r="O15" s="880"/>
      <c r="P15" s="881"/>
      <c r="Q15" s="532"/>
      <c r="R15" s="314" t="s">
        <v>247</v>
      </c>
      <c r="S15" s="22" t="s">
        <v>249</v>
      </c>
      <c r="T15" s="102">
        <v>1</v>
      </c>
      <c r="U15" s="103">
        <f>IF($G$15&lt;=400,W35,(IF($G$15&lt;=550,W36,(IF($G$15&lt;=700,W37,(IF($G$15&lt;=1000,W38,(IF($G$15&lt;=1500,W39,(IF($G$15&gt;1500,W40)))))))))))</f>
        <v>120</v>
      </c>
      <c r="V15" s="315">
        <f>T15*U15</f>
        <v>120</v>
      </c>
      <c r="AC15" s="18"/>
      <c r="AK15" s="664" t="s">
        <v>56</v>
      </c>
      <c r="AL15" s="668" t="s">
        <v>22</v>
      </c>
      <c r="AM15" s="669">
        <v>1810</v>
      </c>
      <c r="AN15" s="669">
        <v>2520</v>
      </c>
      <c r="AO15" s="669">
        <v>3260</v>
      </c>
      <c r="AP15" s="679">
        <v>3970</v>
      </c>
      <c r="AQ15" s="679">
        <v>5720</v>
      </c>
      <c r="AR15" s="679">
        <v>7220</v>
      </c>
      <c r="AS15" s="658"/>
      <c r="AT15" s="680">
        <v>4.5250000000000004</v>
      </c>
      <c r="AU15" s="680">
        <v>4.581818181818182</v>
      </c>
      <c r="AV15" s="680">
        <v>4.6571428571428575</v>
      </c>
      <c r="AW15" s="680">
        <v>3.97</v>
      </c>
      <c r="AX15" s="680">
        <v>3.8133333333333335</v>
      </c>
      <c r="AY15" s="680">
        <v>3.61</v>
      </c>
      <c r="BA15" s="1">
        <f t="shared" si="1"/>
        <v>4.1928823953823953</v>
      </c>
    </row>
    <row r="16" spans="1:53" s="2" customFormat="1" ht="12" customHeight="1" x14ac:dyDescent="0.2">
      <c r="F16" s="84" t="s">
        <v>370</v>
      </c>
      <c r="G16" s="882">
        <f ca="1">IF(G15="","",G17/G15)</f>
        <v>117.30909090909091</v>
      </c>
      <c r="H16" s="883"/>
      <c r="I16" s="771"/>
      <c r="K16" s="944"/>
      <c r="L16" s="944"/>
      <c r="M16" s="944"/>
      <c r="N16" s="543"/>
      <c r="O16" s="882"/>
      <c r="P16" s="883"/>
      <c r="Q16" s="533"/>
      <c r="R16" s="314" t="s">
        <v>250</v>
      </c>
      <c r="S16" s="22" t="s">
        <v>251</v>
      </c>
      <c r="T16" s="106">
        <v>1</v>
      </c>
      <c r="U16" s="107">
        <f>IF($G$15&lt;=400,X35,(IF($G$15&lt;=550,X36,(IF($G$15&lt;=700,X37,(IF($G$15&lt;=1000,X38,(IF($G$15&lt;=1500,X39,(IF($G$15&gt;1500,X40)))))))))))</f>
        <v>16200</v>
      </c>
      <c r="V16" s="315">
        <f t="shared" si="0"/>
        <v>16200</v>
      </c>
      <c r="AC16" s="18"/>
      <c r="AK16" s="664" t="s">
        <v>57</v>
      </c>
      <c r="AL16" s="668" t="s">
        <v>27</v>
      </c>
      <c r="AM16" s="669">
        <v>1400</v>
      </c>
      <c r="AN16" s="669">
        <v>1425</v>
      </c>
      <c r="AO16" s="669">
        <v>2650</v>
      </c>
      <c r="AP16" s="679">
        <v>2900</v>
      </c>
      <c r="AQ16" s="679">
        <v>4250</v>
      </c>
      <c r="AR16" s="679">
        <v>5600</v>
      </c>
      <c r="AS16" s="658"/>
      <c r="AT16" s="680">
        <v>3.5</v>
      </c>
      <c r="AU16" s="680">
        <v>2.5909090909090908</v>
      </c>
      <c r="AV16" s="680">
        <v>3.7857142857142856</v>
      </c>
      <c r="AW16" s="680">
        <v>2.9</v>
      </c>
      <c r="AX16" s="680">
        <v>2.8333333333333335</v>
      </c>
      <c r="AY16" s="680">
        <v>2.8</v>
      </c>
      <c r="BA16" s="1">
        <f t="shared" si="1"/>
        <v>3.0683261183261181</v>
      </c>
    </row>
    <row r="17" spans="1:61" s="2" customFormat="1" ht="12" customHeight="1" x14ac:dyDescent="0.2">
      <c r="F17" s="85" t="s">
        <v>427</v>
      </c>
      <c r="G17" s="917">
        <f ca="1">DNPBracketing!E14</f>
        <v>64520</v>
      </c>
      <c r="H17" s="917"/>
      <c r="I17" s="772"/>
      <c r="J17" s="52"/>
      <c r="K17" s="917"/>
      <c r="L17" s="917"/>
      <c r="M17" s="917"/>
      <c r="N17" s="477"/>
      <c r="O17" s="884"/>
      <c r="P17" s="884"/>
      <c r="Q17" s="532"/>
      <c r="R17" s="314" t="s">
        <v>252</v>
      </c>
      <c r="S17" s="22" t="s">
        <v>253</v>
      </c>
      <c r="T17" s="106">
        <v>1</v>
      </c>
      <c r="U17" s="107">
        <f>IF($G$15&lt;=400,Y35,(IF($G$15&lt;=550,Y36,(IF($G$15&lt;=700,Y37,(IF($G$15&lt;=1000,Y38,(IF($G$15&lt;=1500,Y39,(IF($G$15&gt;1500,Y40)))))))))))</f>
        <v>1000</v>
      </c>
      <c r="V17" s="315">
        <f>T17*U17</f>
        <v>1000</v>
      </c>
      <c r="AC17" s="18"/>
      <c r="AK17" s="664" t="s">
        <v>58</v>
      </c>
      <c r="AL17" s="668" t="s">
        <v>29</v>
      </c>
      <c r="AM17" s="669">
        <v>1200</v>
      </c>
      <c r="AN17" s="669">
        <v>1200</v>
      </c>
      <c r="AO17" s="669">
        <v>1200</v>
      </c>
      <c r="AP17" s="679">
        <v>1400</v>
      </c>
      <c r="AQ17" s="679">
        <v>2600</v>
      </c>
      <c r="AR17" s="679">
        <v>3900</v>
      </c>
      <c r="AS17" s="658"/>
      <c r="AT17" s="680">
        <v>3</v>
      </c>
      <c r="AU17" s="680">
        <v>2.1818181818181817</v>
      </c>
      <c r="AV17" s="680">
        <v>1.7142857142857142</v>
      </c>
      <c r="AW17" s="680">
        <v>1.4</v>
      </c>
      <c r="AX17" s="680">
        <v>1.7333333333333334</v>
      </c>
      <c r="AY17" s="680">
        <v>1.95</v>
      </c>
      <c r="BA17" s="1">
        <f t="shared" si="1"/>
        <v>1.9965728715728712</v>
      </c>
    </row>
    <row r="18" spans="1:61" s="2" customFormat="1" ht="12" customHeight="1" x14ac:dyDescent="0.2">
      <c r="C18" s="253" t="s">
        <v>368</v>
      </c>
      <c r="G18" s="918">
        <f>IF(I18=1,0,IF(G15=350,((SUM(G21:G24)-V340)*0.025),IF(G15&gt;=1000,((SUM(G21:G24)-V340)*0.015),(((SUM(G21:G24)-V340)*(((-0.0015*G15)+3.0385)/100))))))</f>
        <v>0</v>
      </c>
      <c r="H18" s="918"/>
      <c r="I18" s="773">
        <v>1</v>
      </c>
      <c r="N18" s="556"/>
      <c r="O18" s="885"/>
      <c r="P18" s="885"/>
      <c r="Q18" s="521"/>
      <c r="R18" s="314" t="s">
        <v>254</v>
      </c>
      <c r="S18" s="22" t="s">
        <v>255</v>
      </c>
      <c r="T18" s="106">
        <v>1</v>
      </c>
      <c r="U18" s="107">
        <f>IF($G$15&lt;=400,Z35,(IF($G$15&lt;=550,Z36,(IF($G$15&lt;=700,Z37,(IF($G$15&lt;=1000,Z38,(IF($G$15&lt;=1500,Z39,(IF($G$15&gt;1500,Z40)))))))))))</f>
        <v>300</v>
      </c>
      <c r="V18" s="315">
        <f t="shared" si="0"/>
        <v>300</v>
      </c>
      <c r="AC18" s="18"/>
      <c r="AK18" s="664" t="s">
        <v>59</v>
      </c>
      <c r="AL18" s="668" t="s">
        <v>2</v>
      </c>
      <c r="AM18" s="669">
        <v>3700</v>
      </c>
      <c r="AN18" s="669">
        <v>4300</v>
      </c>
      <c r="AO18" s="669">
        <v>5100</v>
      </c>
      <c r="AP18" s="679">
        <v>6500</v>
      </c>
      <c r="AQ18" s="679">
        <v>7600</v>
      </c>
      <c r="AR18" s="679">
        <v>10800</v>
      </c>
      <c r="AS18" s="658"/>
      <c r="AT18" s="680">
        <v>9.25</v>
      </c>
      <c r="AU18" s="680">
        <v>7.8181818181818183</v>
      </c>
      <c r="AV18" s="680">
        <v>7.2857142857142856</v>
      </c>
      <c r="AW18" s="680">
        <v>6.5</v>
      </c>
      <c r="AX18" s="680">
        <v>5.0666666666666664</v>
      </c>
      <c r="AY18" s="680">
        <v>5.4</v>
      </c>
      <c r="BA18" s="1">
        <f t="shared" si="1"/>
        <v>6.8867604617604607</v>
      </c>
    </row>
    <row r="19" spans="1:61" s="2" customFormat="1" ht="12" customHeight="1" thickBot="1" x14ac:dyDescent="0.25">
      <c r="C19" s="558"/>
      <c r="D19" s="15"/>
      <c r="E19" s="15"/>
      <c r="F19" s="85" t="s">
        <v>371</v>
      </c>
      <c r="G19" s="884">
        <f ca="1">G17+G18</f>
        <v>64520</v>
      </c>
      <c r="H19" s="884"/>
      <c r="I19" s="651">
        <f ca="1">G17/1.1</f>
        <v>58654.545454545449</v>
      </c>
      <c r="J19" s="557"/>
      <c r="N19" s="3"/>
      <c r="O19" s="884"/>
      <c r="P19" s="884"/>
      <c r="Q19" s="534"/>
      <c r="R19" s="314" t="s">
        <v>256</v>
      </c>
      <c r="S19" s="22" t="s">
        <v>257</v>
      </c>
      <c r="T19" s="106">
        <v>1</v>
      </c>
      <c r="U19" s="107">
        <f>IF($G$15&lt;=400,AA35,(IF($G$15&lt;=550,AA36,(IF($G$15&lt;=700,AA37,(IF($G$15&lt;=1000,AA38,(IF($G$15&lt;=1500,AA39,(IF($G$15&gt;1500,AA40)))))))))))</f>
        <v>60</v>
      </c>
      <c r="V19" s="315">
        <f t="shared" si="0"/>
        <v>60</v>
      </c>
      <c r="AC19" s="18"/>
      <c r="AK19" s="664" t="s">
        <v>60</v>
      </c>
      <c r="AL19" s="668" t="s">
        <v>4</v>
      </c>
      <c r="AM19" s="669">
        <v>4180</v>
      </c>
      <c r="AN19" s="669">
        <v>4430</v>
      </c>
      <c r="AO19" s="669">
        <v>5280</v>
      </c>
      <c r="AP19" s="679">
        <v>6980</v>
      </c>
      <c r="AQ19" s="679">
        <v>9980</v>
      </c>
      <c r="AR19" s="679">
        <v>12830</v>
      </c>
      <c r="AS19" s="658"/>
      <c r="AT19" s="680">
        <v>10.45</v>
      </c>
      <c r="AU19" s="680">
        <v>8.0545454545454547</v>
      </c>
      <c r="AV19" s="680">
        <v>7.5428571428571427</v>
      </c>
      <c r="AW19" s="680">
        <v>6.98</v>
      </c>
      <c r="AX19" s="680">
        <v>6.6533333333333333</v>
      </c>
      <c r="AY19" s="680">
        <v>6.415</v>
      </c>
      <c r="BA19" s="1">
        <f t="shared" si="1"/>
        <v>7.682622655122656</v>
      </c>
    </row>
    <row r="20" spans="1:61" s="2" customFormat="1" ht="12" customHeight="1" thickBot="1" x14ac:dyDescent="0.25">
      <c r="C20" s="559" t="s">
        <v>43</v>
      </c>
      <c r="D20" s="560"/>
      <c r="E20" s="560"/>
      <c r="F20" s="561"/>
      <c r="G20" s="562" t="s">
        <v>38</v>
      </c>
      <c r="H20" s="563"/>
      <c r="I20" s="771"/>
      <c r="N20" s="3"/>
      <c r="O20" s="880"/>
      <c r="P20" s="880"/>
      <c r="Q20" s="459"/>
      <c r="R20" s="314" t="s">
        <v>258</v>
      </c>
      <c r="S20" s="22" t="s">
        <v>259</v>
      </c>
      <c r="T20" s="106">
        <v>1</v>
      </c>
      <c r="U20" s="107">
        <f>IF($G$15&lt;=400,AB35,(IF($G$15&lt;=550,AB36,(IF($G$15&lt;=700,AB37,(IF($G$15&lt;=1000,AB38,(IF($G$15&lt;=1500,AB39,(IF($G$15&gt;1500,AB40)))))))))))</f>
        <v>400</v>
      </c>
      <c r="V20" s="315">
        <f t="shared" si="0"/>
        <v>400</v>
      </c>
      <c r="W20" s="17" t="s">
        <v>41</v>
      </c>
      <c r="AK20" s="664" t="s">
        <v>61</v>
      </c>
      <c r="AL20" s="668" t="s">
        <v>6</v>
      </c>
      <c r="AM20" s="669">
        <v>1615</v>
      </c>
      <c r="AN20" s="669">
        <v>2140</v>
      </c>
      <c r="AO20" s="669">
        <v>2665</v>
      </c>
      <c r="AP20" s="679">
        <v>3855</v>
      </c>
      <c r="AQ20" s="679">
        <v>5605</v>
      </c>
      <c r="AR20" s="679">
        <v>7355</v>
      </c>
      <c r="AS20" s="658"/>
      <c r="AT20" s="680">
        <v>4.0374999999999996</v>
      </c>
      <c r="AU20" s="680">
        <v>3.8909090909090911</v>
      </c>
      <c r="AV20" s="680">
        <v>3.8071428571428569</v>
      </c>
      <c r="AW20" s="680">
        <v>3.855</v>
      </c>
      <c r="AX20" s="680">
        <v>3.7366666666666668</v>
      </c>
      <c r="AY20" s="680">
        <v>3.6775000000000002</v>
      </c>
      <c r="BA20" s="1">
        <f t="shared" si="1"/>
        <v>3.8341197691197686</v>
      </c>
    </row>
    <row r="21" spans="1:61" s="2" customFormat="1" ht="27" customHeight="1" x14ac:dyDescent="0.2">
      <c r="C21" s="929" t="s">
        <v>347</v>
      </c>
      <c r="D21" s="930"/>
      <c r="E21" s="930"/>
      <c r="F21" s="931"/>
      <c r="G21" s="531">
        <f>IF(G15&lt;=400,G15*BA36,IF(G15&lt;=550,G15*BB36,IF(G15&lt;=700,G15*BC36,IF(G15&lt;=1000,G15*BD36,IF(G15&lt;=1500,G15*BE36,IF(G15&lt;=2000,G15*BF36,IF(G15&gt;2000,G15*BF36)))))))</f>
        <v>34825.009999999995</v>
      </c>
      <c r="H21" s="81" t="s">
        <v>48</v>
      </c>
      <c r="I21" s="768" t="s">
        <v>378</v>
      </c>
      <c r="J21" s="52"/>
      <c r="K21" s="961">
        <f>G44+G45+G47+G48+G49+G51</f>
        <v>0</v>
      </c>
      <c r="L21" s="962"/>
      <c r="M21" s="963"/>
      <c r="N21" s="544"/>
      <c r="O21" s="885"/>
      <c r="P21" s="885"/>
      <c r="Q21" s="535"/>
      <c r="R21" s="373" t="s">
        <v>260</v>
      </c>
      <c r="S21" s="109" t="s">
        <v>261</v>
      </c>
      <c r="T21" s="106">
        <v>1</v>
      </c>
      <c r="U21" s="110">
        <f>IF($G$15&lt;=400,AC35,(IF($G$15&lt;=550,AC36,(IF($G$15&lt;=700,AC37,(IF($G$15&lt;=1000,AC38,(IF($G$15&lt;=1500,AC39,(IF($G$15&gt;1500,AC40)))))))))))</f>
        <v>500</v>
      </c>
      <c r="V21" s="315">
        <f>T21*U21</f>
        <v>500</v>
      </c>
      <c r="W21" s="17" t="s">
        <v>41</v>
      </c>
      <c r="AK21" s="664" t="s">
        <v>62</v>
      </c>
      <c r="AL21" s="668" t="s">
        <v>8</v>
      </c>
      <c r="AM21" s="669">
        <v>300</v>
      </c>
      <c r="AN21" s="669">
        <v>400</v>
      </c>
      <c r="AO21" s="669">
        <v>500</v>
      </c>
      <c r="AP21" s="679">
        <v>700</v>
      </c>
      <c r="AQ21" s="679">
        <v>900</v>
      </c>
      <c r="AR21" s="679">
        <v>900</v>
      </c>
      <c r="AS21" s="658"/>
      <c r="AT21" s="680">
        <v>0.75</v>
      </c>
      <c r="AU21" s="680">
        <v>0.72727272727272729</v>
      </c>
      <c r="AV21" s="680">
        <v>0.7142857142857143</v>
      </c>
      <c r="AW21" s="680">
        <v>0.7</v>
      </c>
      <c r="AX21" s="680">
        <v>0.6</v>
      </c>
      <c r="AY21" s="680">
        <v>0.45</v>
      </c>
    </row>
    <row r="22" spans="1:61" s="2" customFormat="1" ht="12" customHeight="1" x14ac:dyDescent="0.2">
      <c r="C22" s="932" t="s">
        <v>20</v>
      </c>
      <c r="D22" s="933"/>
      <c r="E22" s="933"/>
      <c r="F22" s="934"/>
      <c r="G22" s="531">
        <f>V192</f>
        <v>2569</v>
      </c>
      <c r="H22" s="31"/>
      <c r="I22" s="768" t="s">
        <v>379</v>
      </c>
      <c r="J22" s="52"/>
      <c r="K22" s="964">
        <f>G46</f>
        <v>0</v>
      </c>
      <c r="L22" s="965"/>
      <c r="M22" s="966"/>
      <c r="N22" s="681"/>
      <c r="O22" s="885"/>
      <c r="P22" s="885"/>
      <c r="Q22" s="535"/>
      <c r="R22" s="373" t="s">
        <v>262</v>
      </c>
      <c r="S22" s="109" t="s">
        <v>263</v>
      </c>
      <c r="T22" s="106">
        <v>1</v>
      </c>
      <c r="U22" s="110">
        <f>IF($G$15&lt;=400,AD35,(IF($G$15&lt;=550,AD36,(IF($G$15&lt;=700,AD37,(IF($G$15&lt;=1000,AD38,(IF($G$15&lt;=1500,AD39,(IF($G$15&gt;1500,AD40)))))))))))</f>
        <v>0</v>
      </c>
      <c r="V22" s="315">
        <f>T22*U22</f>
        <v>0</v>
      </c>
      <c r="W22" s="17" t="s">
        <v>41</v>
      </c>
      <c r="AK22" s="664" t="s">
        <v>63</v>
      </c>
      <c r="AL22" s="668" t="s">
        <v>10</v>
      </c>
      <c r="AM22" s="682">
        <v>11247.080000000002</v>
      </c>
      <c r="AN22" s="682">
        <v>14420.13904</v>
      </c>
      <c r="AO22" s="682">
        <v>18030.184000000001</v>
      </c>
      <c r="AP22" s="679">
        <v>23939.200000000001</v>
      </c>
      <c r="AQ22" s="679">
        <v>34718.400000000001</v>
      </c>
      <c r="AR22" s="679">
        <v>45564</v>
      </c>
      <c r="AS22" s="658"/>
      <c r="AT22" s="680">
        <v>28.117700000000003</v>
      </c>
      <c r="AU22" s="680">
        <v>26.218434618181817</v>
      </c>
      <c r="AV22" s="680">
        <v>25.757405714285717</v>
      </c>
      <c r="AW22" s="680">
        <v>23.9392</v>
      </c>
      <c r="AX22" s="680">
        <v>23.145600000000002</v>
      </c>
      <c r="AY22" s="680">
        <v>22.782</v>
      </c>
    </row>
    <row r="23" spans="1:61" s="2" customFormat="1" ht="12" customHeight="1" x14ac:dyDescent="0.2">
      <c r="C23" s="935" t="s">
        <v>2</v>
      </c>
      <c r="D23" s="936"/>
      <c r="E23" s="936"/>
      <c r="F23" s="937"/>
      <c r="G23" s="531">
        <f>V213</f>
        <v>4300</v>
      </c>
      <c r="H23" s="82" t="s">
        <v>47</v>
      </c>
      <c r="I23" s="768" t="s">
        <v>380</v>
      </c>
      <c r="J23" s="52"/>
      <c r="K23" s="919">
        <f>G50</f>
        <v>0</v>
      </c>
      <c r="L23" s="920"/>
      <c r="M23" s="921"/>
      <c r="N23" s="545"/>
      <c r="O23" s="885"/>
      <c r="P23" s="885"/>
      <c r="Q23" s="535"/>
      <c r="R23" s="373" t="s">
        <v>264</v>
      </c>
      <c r="S23" s="109" t="s">
        <v>265</v>
      </c>
      <c r="T23" s="106">
        <v>1</v>
      </c>
      <c r="U23" s="111">
        <f>IF($G$15&lt;=400,AE35,(IF($G$15&lt;=550,AE36,(IF($G$15&lt;=700,AE37,(IF($G$15&lt;=1000,AE38,(IF($G$15&lt;=1500,AE39,(IF($G$15&gt;1500,AE40)))))))))))</f>
        <v>0</v>
      </c>
      <c r="V23" s="316">
        <f>T23*U23</f>
        <v>0</v>
      </c>
      <c r="AC23" s="18"/>
      <c r="AK23" s="664"/>
      <c r="AL23" s="668"/>
      <c r="AM23" s="669"/>
      <c r="AN23" s="669"/>
      <c r="AO23" s="669"/>
      <c r="AP23" s="683"/>
      <c r="AQ23" s="683"/>
      <c r="AR23" s="683"/>
      <c r="AS23" s="658"/>
      <c r="AT23" s="659"/>
      <c r="AU23" s="659"/>
      <c r="AV23" s="659"/>
      <c r="AW23" s="659"/>
      <c r="AX23" s="659"/>
      <c r="AY23" s="659"/>
    </row>
    <row r="24" spans="1:61" s="2" customFormat="1" ht="12" customHeight="1" x14ac:dyDescent="0.2">
      <c r="C24" s="938" t="s">
        <v>46</v>
      </c>
      <c r="D24" s="939"/>
      <c r="E24" s="939"/>
      <c r="F24" s="940"/>
      <c r="G24" s="531">
        <f ca="1">I19-(G21+G22+G23)</f>
        <v>16960.535454545454</v>
      </c>
      <c r="H24" s="31"/>
      <c r="I24" s="768" t="s">
        <v>381</v>
      </c>
      <c r="J24" s="52"/>
      <c r="K24" s="922">
        <f>G52+G53+G54</f>
        <v>0</v>
      </c>
      <c r="L24" s="923"/>
      <c r="M24" s="924"/>
      <c r="N24" s="546"/>
      <c r="O24" s="885"/>
      <c r="P24" s="885"/>
      <c r="Q24" s="535"/>
      <c r="R24" s="317"/>
      <c r="S24" s="22"/>
      <c r="T24" s="80"/>
      <c r="U24" s="80"/>
      <c r="V24" s="318"/>
      <c r="AC24" s="18"/>
      <c r="AK24" s="672" t="s">
        <v>875</v>
      </c>
      <c r="AL24" s="665"/>
      <c r="AM24" s="684">
        <v>45454.58</v>
      </c>
      <c r="AN24" s="684">
        <v>58654.149039999997</v>
      </c>
      <c r="AO24" s="684">
        <v>73563.684000000008</v>
      </c>
      <c r="AP24" s="684">
        <v>99239.2</v>
      </c>
      <c r="AQ24" s="684">
        <v>144443.4</v>
      </c>
      <c r="AR24" s="684">
        <v>189439</v>
      </c>
      <c r="AS24" s="658"/>
      <c r="AT24" s="659"/>
      <c r="AU24" s="659"/>
      <c r="AV24" s="659"/>
      <c r="AW24" s="659"/>
      <c r="AX24" s="659"/>
      <c r="AY24" s="659"/>
    </row>
    <row r="25" spans="1:61" s="2" customFormat="1" ht="12" customHeight="1" thickBot="1" x14ac:dyDescent="0.25">
      <c r="C25" s="33"/>
      <c r="D25" s="34"/>
      <c r="E25" s="34"/>
      <c r="F25" s="35"/>
      <c r="G25" s="36"/>
      <c r="H25" s="37"/>
      <c r="I25" s="30"/>
      <c r="J25" s="15"/>
      <c r="N25" s="3"/>
      <c r="O25" s="975"/>
      <c r="P25" s="975"/>
      <c r="R25" s="319" t="s">
        <v>266</v>
      </c>
      <c r="S25" s="320"/>
      <c r="T25" s="381"/>
      <c r="U25" s="381"/>
      <c r="V25" s="322">
        <f>SUM(V12:V23)</f>
        <v>23500</v>
      </c>
      <c r="Y25" s="117"/>
      <c r="Z25" s="117"/>
      <c r="AA25" s="117"/>
      <c r="AB25" s="117"/>
      <c r="AC25" s="117"/>
      <c r="AK25" s="685" t="s">
        <v>876</v>
      </c>
      <c r="AL25" s="665"/>
      <c r="AM25" s="686">
        <v>0.1</v>
      </c>
      <c r="AN25" s="686">
        <v>0.1</v>
      </c>
      <c r="AO25" s="686">
        <v>0.1</v>
      </c>
      <c r="AP25" s="686">
        <v>0.1</v>
      </c>
      <c r="AQ25" s="686">
        <v>0.1</v>
      </c>
      <c r="AR25" s="686">
        <v>0.1</v>
      </c>
      <c r="AS25" s="658"/>
      <c r="AT25" s="659"/>
      <c r="AU25" s="659"/>
      <c r="AV25" s="659"/>
      <c r="AW25" s="659"/>
      <c r="AX25" s="659"/>
      <c r="AY25" s="659"/>
    </row>
    <row r="26" spans="1:61" s="2" customFormat="1" ht="12" customHeight="1" thickBot="1" x14ac:dyDescent="0.25">
      <c r="C26" s="38"/>
      <c r="D26" s="39"/>
      <c r="E26" s="39"/>
      <c r="F26" s="258" t="s">
        <v>402</v>
      </c>
      <c r="G26" s="907">
        <f ca="1">SUM(G21:G24)</f>
        <v>58654.545454545449</v>
      </c>
      <c r="H26" s="908"/>
      <c r="I26" s="15"/>
      <c r="J26" s="15"/>
      <c r="K26" s="907">
        <f>SUM(K21:M25)</f>
        <v>0</v>
      </c>
      <c r="L26" s="925"/>
      <c r="M26" s="908"/>
      <c r="N26" s="536"/>
      <c r="O26" s="885"/>
      <c r="P26" s="975"/>
      <c r="R26" s="117"/>
      <c r="S26" s="117"/>
      <c r="T26" s="117"/>
      <c r="U26" s="117"/>
      <c r="V26" s="117"/>
      <c r="W26" s="117"/>
      <c r="X26" s="117"/>
      <c r="Y26" s="117"/>
      <c r="Z26" s="117"/>
      <c r="AA26" s="117"/>
      <c r="AB26" s="117"/>
      <c r="AC26" s="117"/>
      <c r="AK26" s="687" t="s">
        <v>877</v>
      </c>
      <c r="AL26" s="688"/>
      <c r="AM26" s="689">
        <v>50000.038</v>
      </c>
      <c r="AN26" s="689">
        <v>64519.563943999994</v>
      </c>
      <c r="AO26" s="689">
        <v>80920.052400000015</v>
      </c>
      <c r="AP26" s="689">
        <v>109163.12</v>
      </c>
      <c r="AQ26" s="689">
        <v>158887.74</v>
      </c>
      <c r="AR26" s="689">
        <v>208382.9</v>
      </c>
      <c r="AS26" s="658"/>
      <c r="AT26" s="659"/>
      <c r="AU26" s="659"/>
      <c r="AV26" s="659"/>
      <c r="AW26" s="659"/>
      <c r="AX26" s="659"/>
      <c r="AY26" s="659"/>
    </row>
    <row r="27" spans="1:61" s="2" customFormat="1" ht="12" customHeight="1" thickBot="1" x14ac:dyDescent="0.25">
      <c r="C27" s="38"/>
      <c r="D27" s="39"/>
      <c r="E27" s="39"/>
      <c r="F27" s="40" t="s">
        <v>372</v>
      </c>
      <c r="G27" s="909">
        <v>0.1</v>
      </c>
      <c r="H27" s="910"/>
      <c r="I27" s="15"/>
      <c r="J27" s="15"/>
      <c r="K27" s="909"/>
      <c r="L27" s="926"/>
      <c r="M27" s="910"/>
      <c r="N27" s="537"/>
      <c r="O27" s="974"/>
      <c r="P27" s="974"/>
      <c r="R27" s="967" t="s">
        <v>267</v>
      </c>
      <c r="S27" s="968"/>
      <c r="T27" s="968"/>
      <c r="U27" s="968"/>
      <c r="V27" s="968"/>
      <c r="W27" s="968"/>
      <c r="X27" s="969"/>
      <c r="Y27" s="117"/>
      <c r="Z27" s="117"/>
      <c r="AA27" s="117"/>
      <c r="AB27" s="117"/>
      <c r="AC27" s="117"/>
    </row>
    <row r="28" spans="1:61" s="2" customFormat="1" ht="12" customHeight="1" thickBot="1" x14ac:dyDescent="0.25">
      <c r="C28" s="41"/>
      <c r="D28" s="42"/>
      <c r="E28" s="42"/>
      <c r="F28" s="259" t="s">
        <v>373</v>
      </c>
      <c r="G28" s="911">
        <f ca="1">(G26*G27)+G26</f>
        <v>64519.999999999993</v>
      </c>
      <c r="H28" s="912"/>
      <c r="I28" s="91"/>
      <c r="J28" s="15"/>
      <c r="K28" s="911">
        <f>G57</f>
        <v>0</v>
      </c>
      <c r="L28" s="927"/>
      <c r="M28" s="912"/>
      <c r="N28" s="536"/>
      <c r="R28" s="118" t="s">
        <v>23</v>
      </c>
      <c r="S28" s="119" t="s">
        <v>24</v>
      </c>
      <c r="T28" s="120"/>
      <c r="U28" s="120"/>
      <c r="V28" s="120"/>
      <c r="W28" s="120"/>
      <c r="X28" s="121"/>
      <c r="Y28" s="122"/>
      <c r="Z28" s="122"/>
      <c r="AA28" s="122"/>
      <c r="AB28" s="122"/>
      <c r="AC28" s="117"/>
    </row>
    <row r="29" spans="1:61" s="2" customFormat="1" ht="12" customHeight="1" thickBot="1" x14ac:dyDescent="0.25">
      <c r="C29" s="15"/>
      <c r="D29" s="15"/>
      <c r="E29" s="15"/>
      <c r="F29" s="43"/>
      <c r="G29" s="459"/>
      <c r="H29" s="459"/>
      <c r="I29" s="15"/>
      <c r="J29" s="15"/>
      <c r="N29" s="3"/>
      <c r="R29" s="123">
        <v>1</v>
      </c>
      <c r="S29" s="124" t="s">
        <v>268</v>
      </c>
      <c r="T29" s="125"/>
      <c r="U29" s="125"/>
      <c r="V29" s="125"/>
      <c r="W29" s="125"/>
      <c r="X29" s="126"/>
      <c r="Y29" s="122"/>
      <c r="Z29" s="122"/>
      <c r="AA29" s="122"/>
      <c r="AB29" s="122"/>
      <c r="AC29" s="117"/>
      <c r="AK29" s="654" t="s">
        <v>864</v>
      </c>
      <c r="AL29" s="655"/>
      <c r="AM29" s="656" t="s">
        <v>865</v>
      </c>
      <c r="AN29" s="656" t="s">
        <v>866</v>
      </c>
      <c r="AO29" s="656" t="s">
        <v>867</v>
      </c>
      <c r="AP29" s="656" t="s">
        <v>868</v>
      </c>
      <c r="AQ29" s="656" t="s">
        <v>869</v>
      </c>
      <c r="AR29" s="657" t="s">
        <v>870</v>
      </c>
      <c r="AT29" s="656">
        <v>400</v>
      </c>
      <c r="AU29" s="656">
        <v>550</v>
      </c>
      <c r="AV29" s="690">
        <v>700</v>
      </c>
      <c r="AW29" s="691">
        <v>1000</v>
      </c>
      <c r="AX29" s="656">
        <v>1500</v>
      </c>
      <c r="AY29" s="656">
        <v>2000</v>
      </c>
      <c r="BA29" s="656">
        <v>400</v>
      </c>
      <c r="BB29" s="656">
        <v>550</v>
      </c>
      <c r="BC29" s="690">
        <v>700</v>
      </c>
      <c r="BD29" s="691">
        <v>1000</v>
      </c>
      <c r="BE29" s="656">
        <v>1500</v>
      </c>
      <c r="BF29" s="656">
        <v>2000</v>
      </c>
      <c r="BH29" s="692" t="s">
        <v>878</v>
      </c>
      <c r="BI29" s="691" t="s">
        <v>879</v>
      </c>
    </row>
    <row r="30" spans="1:61" s="2" customFormat="1" ht="12" customHeight="1" thickBot="1" x14ac:dyDescent="0.25">
      <c r="I30" s="15"/>
      <c r="J30" s="91"/>
      <c r="K30" s="254" t="s">
        <v>12</v>
      </c>
      <c r="L30" s="94">
        <f ca="1">G63</f>
        <v>-64520</v>
      </c>
      <c r="M30" s="52"/>
      <c r="N30" s="547"/>
      <c r="O30" s="976"/>
      <c r="P30" s="975"/>
      <c r="R30" s="123"/>
      <c r="S30" s="127" t="s">
        <v>423</v>
      </c>
      <c r="T30" s="128"/>
      <c r="U30" s="128"/>
      <c r="V30" s="128"/>
      <c r="W30" s="128"/>
      <c r="X30" s="129"/>
      <c r="Y30" s="122"/>
      <c r="Z30" s="122"/>
      <c r="AA30" s="122"/>
      <c r="AB30" s="122"/>
      <c r="AC30" s="117"/>
      <c r="AK30" s="660"/>
      <c r="AL30" s="661"/>
      <c r="AM30" s="662" t="s">
        <v>38</v>
      </c>
      <c r="AN30" s="662" t="s">
        <v>38</v>
      </c>
      <c r="AO30" s="662" t="s">
        <v>38</v>
      </c>
      <c r="AP30" s="662" t="s">
        <v>38</v>
      </c>
      <c r="AQ30" s="662" t="s">
        <v>38</v>
      </c>
      <c r="AR30" s="662" t="s">
        <v>38</v>
      </c>
      <c r="AW30" s="570"/>
      <c r="BA30" s="482"/>
      <c r="BB30" s="482"/>
      <c r="BC30" s="482"/>
      <c r="BD30" s="576"/>
      <c r="BE30" s="482"/>
      <c r="BF30" s="482"/>
      <c r="BI30" s="576"/>
    </row>
    <row r="31" spans="1:61" s="2" customFormat="1" ht="12" customHeight="1" thickBot="1" x14ac:dyDescent="0.25">
      <c r="A31" s="269" t="s">
        <v>382</v>
      </c>
      <c r="C31" s="900" t="s">
        <v>81</v>
      </c>
      <c r="D31" s="900"/>
      <c r="E31" s="900"/>
      <c r="F31" s="900"/>
      <c r="G31" s="900"/>
      <c r="H31" s="900"/>
      <c r="I31" s="900"/>
      <c r="J31" s="900"/>
      <c r="K31" s="900"/>
      <c r="L31" s="900"/>
      <c r="N31" s="3"/>
      <c r="R31" s="130"/>
      <c r="S31" s="131" t="s">
        <v>269</v>
      </c>
      <c r="T31" s="132"/>
      <c r="U31" s="132"/>
      <c r="V31" s="132"/>
      <c r="W31" s="132"/>
      <c r="X31" s="133"/>
      <c r="AK31" s="664" t="s">
        <v>871</v>
      </c>
      <c r="AL31" s="665"/>
      <c r="AM31" s="666"/>
      <c r="AN31" s="666"/>
      <c r="AO31" s="666"/>
      <c r="AP31" s="667"/>
      <c r="AQ31" s="667"/>
      <c r="AR31" s="667"/>
      <c r="AW31" s="570"/>
      <c r="BA31" s="482"/>
      <c r="BB31" s="482"/>
      <c r="BC31" s="482"/>
      <c r="BD31" s="576"/>
      <c r="BE31" s="482"/>
      <c r="BF31" s="482"/>
      <c r="BI31" s="576"/>
    </row>
    <row r="32" spans="1:61" s="2" customFormat="1" ht="12" customHeight="1" thickBot="1" x14ac:dyDescent="0.25">
      <c r="A32" s="269" t="s">
        <v>383</v>
      </c>
      <c r="C32" s="900" t="s">
        <v>742</v>
      </c>
      <c r="D32" s="900"/>
      <c r="E32" s="900"/>
      <c r="F32" s="900"/>
      <c r="G32" s="900"/>
      <c r="H32" s="900"/>
      <c r="I32" s="900"/>
      <c r="J32" s="900"/>
      <c r="K32" s="900"/>
      <c r="L32" s="900"/>
      <c r="N32" s="3"/>
      <c r="AK32" s="664" t="s">
        <v>872</v>
      </c>
      <c r="AL32" s="668"/>
      <c r="AM32" s="669">
        <v>400</v>
      </c>
      <c r="AN32" s="669">
        <v>550</v>
      </c>
      <c r="AO32" s="669">
        <v>700</v>
      </c>
      <c r="AP32" s="670">
        <v>1000</v>
      </c>
      <c r="AQ32" s="670">
        <v>1500</v>
      </c>
      <c r="AR32" s="670">
        <v>2000</v>
      </c>
      <c r="AW32" s="570"/>
      <c r="BA32" s="482"/>
      <c r="BB32" s="482"/>
      <c r="BC32" s="482"/>
      <c r="BD32" s="576"/>
      <c r="BE32" s="482"/>
      <c r="BF32" s="482"/>
      <c r="BH32" s="482"/>
      <c r="BI32" s="576"/>
    </row>
    <row r="33" spans="1:61" s="2" customFormat="1" ht="12" customHeight="1" thickBot="1" x14ac:dyDescent="0.25">
      <c r="A33" s="270" t="s">
        <v>410</v>
      </c>
      <c r="C33" s="928" t="s">
        <v>411</v>
      </c>
      <c r="D33" s="928"/>
      <c r="E33" s="928"/>
      <c r="F33" s="928"/>
      <c r="G33" s="928"/>
      <c r="H33" s="928"/>
      <c r="I33" s="928"/>
      <c r="J33" s="928"/>
      <c r="K33" s="928"/>
      <c r="L33" s="928"/>
      <c r="M33" s="928"/>
      <c r="N33" s="466"/>
      <c r="S33" s="945" t="s">
        <v>102</v>
      </c>
      <c r="T33" s="946"/>
      <c r="U33" s="946"/>
      <c r="V33" s="946"/>
      <c r="W33" s="946"/>
      <c r="X33" s="946"/>
      <c r="Y33" s="946"/>
      <c r="Z33" s="946"/>
      <c r="AA33" s="946"/>
      <c r="AB33" s="946"/>
      <c r="AC33" s="946"/>
      <c r="AD33" s="946"/>
      <c r="AE33" s="946"/>
      <c r="AF33" s="947"/>
      <c r="AK33" s="664" t="s">
        <v>873</v>
      </c>
      <c r="AL33" s="668"/>
      <c r="AM33" s="671">
        <v>125</v>
      </c>
      <c r="AN33" s="671">
        <v>117.30909090909091</v>
      </c>
      <c r="AO33" s="671">
        <v>115.6</v>
      </c>
      <c r="AP33" s="671">
        <v>109.163</v>
      </c>
      <c r="AQ33" s="671">
        <v>105.92533333333333</v>
      </c>
      <c r="AR33" s="671">
        <v>104.1915</v>
      </c>
      <c r="AW33" s="570"/>
      <c r="BA33" s="482"/>
      <c r="BB33" s="482"/>
      <c r="BC33" s="482"/>
      <c r="BD33" s="576"/>
      <c r="BE33" s="482"/>
      <c r="BF33" s="482"/>
      <c r="BH33" s="482"/>
      <c r="BI33" s="576"/>
    </row>
    <row r="34" spans="1:61" s="2" customFormat="1" ht="12" customHeight="1" thickBot="1" x14ac:dyDescent="0.25">
      <c r="C34" s="928"/>
      <c r="D34" s="928"/>
      <c r="E34" s="928"/>
      <c r="F34" s="928"/>
      <c r="G34" s="928"/>
      <c r="H34" s="928"/>
      <c r="I34" s="928"/>
      <c r="J34" s="928"/>
      <c r="K34" s="928"/>
      <c r="L34" s="928"/>
      <c r="M34" s="928"/>
      <c r="N34" s="466"/>
      <c r="O34" s="46"/>
      <c r="S34" s="134" t="s">
        <v>103</v>
      </c>
      <c r="T34" s="135" t="s">
        <v>280</v>
      </c>
      <c r="U34" s="135" t="s">
        <v>270</v>
      </c>
      <c r="V34" s="135" t="s">
        <v>281</v>
      </c>
      <c r="W34" s="135" t="s">
        <v>271</v>
      </c>
      <c r="X34" s="135" t="s">
        <v>272</v>
      </c>
      <c r="Y34" s="135" t="s">
        <v>273</v>
      </c>
      <c r="Z34" s="135" t="s">
        <v>274</v>
      </c>
      <c r="AA34" s="135" t="s">
        <v>275</v>
      </c>
      <c r="AB34" s="135" t="s">
        <v>276</v>
      </c>
      <c r="AC34" s="135" t="s">
        <v>277</v>
      </c>
      <c r="AD34" s="135" t="s">
        <v>278</v>
      </c>
      <c r="AE34" s="135" t="s">
        <v>279</v>
      </c>
      <c r="AF34" s="136" t="s">
        <v>179</v>
      </c>
      <c r="AK34" s="672" t="s">
        <v>874</v>
      </c>
      <c r="AL34" s="666"/>
      <c r="AM34" s="673">
        <v>50000</v>
      </c>
      <c r="AN34" s="674">
        <v>64520</v>
      </c>
      <c r="AO34" s="674">
        <v>80920</v>
      </c>
      <c r="AP34" s="674">
        <v>109163</v>
      </c>
      <c r="AQ34" s="674">
        <v>158888</v>
      </c>
      <c r="AR34" s="674">
        <v>208383</v>
      </c>
      <c r="AW34" s="570"/>
      <c r="BA34" s="482"/>
      <c r="BB34" s="482"/>
      <c r="BC34" s="482"/>
      <c r="BD34" s="576"/>
      <c r="BE34" s="482"/>
      <c r="BF34" s="482"/>
      <c r="BH34" s="482"/>
      <c r="BI34" s="576"/>
    </row>
    <row r="35" spans="1:61" s="2" customFormat="1" ht="12" customHeight="1" x14ac:dyDescent="0.2">
      <c r="C35" s="928"/>
      <c r="D35" s="928"/>
      <c r="E35" s="928"/>
      <c r="F35" s="928"/>
      <c r="G35" s="928"/>
      <c r="H35" s="928"/>
      <c r="I35" s="928"/>
      <c r="J35" s="928"/>
      <c r="K35" s="928"/>
      <c r="L35" s="928"/>
      <c r="M35" s="928"/>
      <c r="N35" s="466"/>
      <c r="O35" s="46"/>
      <c r="S35" s="137" t="s">
        <v>104</v>
      </c>
      <c r="T35" s="138">
        <v>1200</v>
      </c>
      <c r="U35" s="138">
        <v>1200</v>
      </c>
      <c r="V35" s="138">
        <v>60</v>
      </c>
      <c r="W35" s="138">
        <v>60</v>
      </c>
      <c r="X35" s="138">
        <v>12600</v>
      </c>
      <c r="Y35" s="138">
        <v>1000</v>
      </c>
      <c r="Z35" s="138">
        <v>300</v>
      </c>
      <c r="AA35" s="138">
        <v>60</v>
      </c>
      <c r="AB35" s="138">
        <v>200</v>
      </c>
      <c r="AC35" s="138">
        <v>0</v>
      </c>
      <c r="AD35" s="138">
        <v>0</v>
      </c>
      <c r="AE35" s="138">
        <v>0</v>
      </c>
      <c r="AF35" s="139">
        <f>SUM(T35:AE35)</f>
        <v>16680</v>
      </c>
      <c r="AK35" s="676" t="s">
        <v>14</v>
      </c>
      <c r="AL35" s="677"/>
      <c r="AM35" s="678"/>
      <c r="AN35" s="678"/>
      <c r="AO35" s="678"/>
      <c r="AP35" s="679"/>
      <c r="AQ35" s="679"/>
      <c r="AR35" s="679"/>
      <c r="AW35" s="570"/>
      <c r="BA35" s="482"/>
      <c r="BB35" s="482"/>
      <c r="BC35" s="482"/>
      <c r="BD35" s="576"/>
      <c r="BE35" s="482"/>
      <c r="BF35" s="482"/>
      <c r="BH35" s="482"/>
      <c r="BI35" s="576"/>
    </row>
    <row r="36" spans="1:61" s="2" customFormat="1" ht="12" customHeight="1" x14ac:dyDescent="0.2">
      <c r="A36" s="269" t="s">
        <v>384</v>
      </c>
      <c r="C36" s="900" t="s">
        <v>82</v>
      </c>
      <c r="D36" s="900"/>
      <c r="E36" s="900"/>
      <c r="F36" s="900"/>
      <c r="G36" s="900"/>
      <c r="H36" s="900"/>
      <c r="I36" s="900"/>
      <c r="J36" s="900"/>
      <c r="K36" s="900"/>
      <c r="L36" s="900"/>
      <c r="M36" s="271"/>
      <c r="N36" s="271"/>
      <c r="O36" s="46"/>
      <c r="S36" s="140" t="s">
        <v>105</v>
      </c>
      <c r="T36" s="141">
        <v>2400</v>
      </c>
      <c r="U36" s="141">
        <v>2400</v>
      </c>
      <c r="V36" s="141">
        <v>120</v>
      </c>
      <c r="W36" s="141">
        <v>120</v>
      </c>
      <c r="X36" s="141">
        <v>16200</v>
      </c>
      <c r="Y36" s="141">
        <v>1000</v>
      </c>
      <c r="Z36" s="141">
        <v>300</v>
      </c>
      <c r="AA36" s="141">
        <v>60</v>
      </c>
      <c r="AB36" s="141">
        <v>400</v>
      </c>
      <c r="AC36" s="141">
        <v>500</v>
      </c>
      <c r="AD36" s="141">
        <v>0</v>
      </c>
      <c r="AE36" s="141">
        <v>0</v>
      </c>
      <c r="AF36" s="139">
        <f t="shared" ref="AF36:AF40" si="2">SUM(T36:AE36)</f>
        <v>23500</v>
      </c>
      <c r="AK36" s="664" t="s">
        <v>53</v>
      </c>
      <c r="AL36" s="693" t="s">
        <v>16</v>
      </c>
      <c r="AM36" s="669">
        <v>16680</v>
      </c>
      <c r="AN36" s="669">
        <v>23500.01</v>
      </c>
      <c r="AO36" s="669">
        <v>29060</v>
      </c>
      <c r="AP36" s="679">
        <v>42280</v>
      </c>
      <c r="AQ36" s="679">
        <v>62640</v>
      </c>
      <c r="AR36" s="679">
        <v>82280</v>
      </c>
      <c r="AT36" s="527">
        <f>AM36+AM37+AM39+AM40+AM41+AM43</f>
        <v>26420</v>
      </c>
      <c r="AU36" s="527">
        <f>AN36+AN37+AN39+AN40+AN41+AN43</f>
        <v>34825.009999999995</v>
      </c>
      <c r="AV36" s="527">
        <f t="shared" ref="AV36:AY36" si="3">AO36+AO37+AO39+AO40+AO41+AO43</f>
        <v>43750</v>
      </c>
      <c r="AW36" s="578">
        <f t="shared" si="3"/>
        <v>60630</v>
      </c>
      <c r="AX36" s="527">
        <f>AQ36+AQ37+AQ39+AQ40+AQ41+AQ43</f>
        <v>90090</v>
      </c>
      <c r="AY36" s="527">
        <f t="shared" si="3"/>
        <v>118480</v>
      </c>
      <c r="BA36" s="554">
        <f>AT36/$BA$29</f>
        <v>66.05</v>
      </c>
      <c r="BB36" s="554">
        <f>AU36/$BB$29</f>
        <v>63.31819999999999</v>
      </c>
      <c r="BC36" s="554">
        <f>AV36/$BC$29</f>
        <v>62.5</v>
      </c>
      <c r="BD36" s="571">
        <f>AW36/$BD$29</f>
        <v>60.63</v>
      </c>
      <c r="BE36" s="554">
        <f>AX36/$BE$29</f>
        <v>60.06</v>
      </c>
      <c r="BF36" s="554">
        <f>AY36/$BF$29</f>
        <v>59.24</v>
      </c>
      <c r="BG36" s="525"/>
      <c r="BH36" s="554">
        <f>SUM(BA36:BC36)/3</f>
        <v>63.956066666666665</v>
      </c>
      <c r="BI36" s="571">
        <f>SUM(BD36:BF36)/3</f>
        <v>59.976666666666667</v>
      </c>
    </row>
    <row r="37" spans="1:61" s="2" customFormat="1" ht="12" customHeight="1" x14ac:dyDescent="0.2">
      <c r="A37" s="270" t="s">
        <v>403</v>
      </c>
      <c r="C37" s="901" t="s">
        <v>422</v>
      </c>
      <c r="D37" s="901"/>
      <c r="E37" s="901"/>
      <c r="F37" s="901"/>
      <c r="G37" s="901"/>
      <c r="H37" s="901"/>
      <c r="I37" s="901"/>
      <c r="J37" s="901"/>
      <c r="K37" s="901"/>
      <c r="L37" s="901"/>
      <c r="M37" s="901"/>
      <c r="N37" s="457"/>
      <c r="S37" s="140" t="s">
        <v>106</v>
      </c>
      <c r="T37" s="141">
        <v>2400</v>
      </c>
      <c r="U37" s="141">
        <v>2400</v>
      </c>
      <c r="V37" s="141">
        <v>120</v>
      </c>
      <c r="W37" s="141">
        <v>120</v>
      </c>
      <c r="X37" s="141">
        <v>21600</v>
      </c>
      <c r="Y37" s="141">
        <v>1000</v>
      </c>
      <c r="Z37" s="141">
        <v>600</v>
      </c>
      <c r="AA37" s="141">
        <v>120</v>
      </c>
      <c r="AB37" s="141">
        <v>400</v>
      </c>
      <c r="AC37" s="141">
        <v>300</v>
      </c>
      <c r="AD37" s="141">
        <v>0</v>
      </c>
      <c r="AE37" s="141">
        <v>0</v>
      </c>
      <c r="AF37" s="139">
        <f t="shared" si="2"/>
        <v>29060</v>
      </c>
      <c r="AK37" s="664" t="s">
        <v>54</v>
      </c>
      <c r="AL37" s="693" t="s">
        <v>18</v>
      </c>
      <c r="AM37" s="669">
        <v>1150</v>
      </c>
      <c r="AN37" s="669">
        <v>1750</v>
      </c>
      <c r="AO37" s="669">
        <v>2300</v>
      </c>
      <c r="AP37" s="679">
        <v>3100</v>
      </c>
      <c r="AQ37" s="679">
        <v>4900</v>
      </c>
      <c r="AR37" s="679">
        <v>6650</v>
      </c>
      <c r="AW37" s="570"/>
      <c r="BA37" s="554"/>
      <c r="BB37" s="554"/>
      <c r="BC37" s="554"/>
      <c r="BD37" s="571"/>
      <c r="BE37" s="554"/>
      <c r="BF37" s="554"/>
      <c r="BG37" s="525"/>
      <c r="BH37" s="554"/>
      <c r="BI37" s="571"/>
    </row>
    <row r="38" spans="1:61" ht="12" customHeight="1" x14ac:dyDescent="0.2">
      <c r="A38" s="269" t="s">
        <v>385</v>
      </c>
      <c r="B38" s="2"/>
      <c r="C38" s="900" t="s">
        <v>83</v>
      </c>
      <c r="D38" s="900"/>
      <c r="E38" s="900"/>
      <c r="F38" s="900"/>
      <c r="G38" s="900"/>
      <c r="H38" s="900"/>
      <c r="I38" s="900"/>
      <c r="J38" s="900"/>
      <c r="K38" s="900"/>
      <c r="L38" s="900"/>
      <c r="O38" s="2"/>
      <c r="P38" s="2"/>
      <c r="Q38" s="2"/>
      <c r="S38" s="140" t="s">
        <v>107</v>
      </c>
      <c r="T38" s="141">
        <v>4800</v>
      </c>
      <c r="U38" s="141">
        <v>7200</v>
      </c>
      <c r="V38" s="141">
        <v>240</v>
      </c>
      <c r="W38" s="141">
        <v>360</v>
      </c>
      <c r="X38" s="141">
        <v>27000</v>
      </c>
      <c r="Y38" s="141">
        <v>1000</v>
      </c>
      <c r="Z38" s="141">
        <v>900</v>
      </c>
      <c r="AA38" s="141">
        <v>180</v>
      </c>
      <c r="AB38" s="141">
        <v>600</v>
      </c>
      <c r="AC38" s="141">
        <v>0</v>
      </c>
      <c r="AD38" s="141">
        <v>0</v>
      </c>
      <c r="AE38" s="141">
        <v>0</v>
      </c>
      <c r="AF38" s="139">
        <f t="shared" si="2"/>
        <v>42280</v>
      </c>
      <c r="AH38" s="2"/>
      <c r="AI38" s="2"/>
      <c r="AK38" s="664" t="s">
        <v>55</v>
      </c>
      <c r="AL38" s="694" t="s">
        <v>20</v>
      </c>
      <c r="AM38" s="669">
        <v>2172.5</v>
      </c>
      <c r="AN38" s="669">
        <v>2569</v>
      </c>
      <c r="AO38" s="669">
        <v>3518.5</v>
      </c>
      <c r="AP38" s="679">
        <v>3615</v>
      </c>
      <c r="AQ38" s="679">
        <v>5530</v>
      </c>
      <c r="AR38" s="679">
        <v>6340</v>
      </c>
      <c r="AT38" s="524">
        <f>AM38</f>
        <v>2172.5</v>
      </c>
      <c r="AU38" s="524">
        <f t="shared" ref="AU38:AY38" si="4">AN38</f>
        <v>2569</v>
      </c>
      <c r="AV38" s="524">
        <f t="shared" si="4"/>
        <v>3518.5</v>
      </c>
      <c r="AW38" s="579">
        <f t="shared" si="4"/>
        <v>3615</v>
      </c>
      <c r="AX38" s="524">
        <f t="shared" si="4"/>
        <v>5530</v>
      </c>
      <c r="AY38" s="524">
        <f t="shared" si="4"/>
        <v>6340</v>
      </c>
      <c r="BA38" s="554"/>
      <c r="BB38" s="554"/>
      <c r="BC38" s="554"/>
      <c r="BD38" s="571"/>
      <c r="BE38" s="554"/>
      <c r="BF38" s="554"/>
      <c r="BG38" s="525"/>
      <c r="BH38" s="554"/>
      <c r="BI38" s="571"/>
    </row>
    <row r="39" spans="1:61" ht="12" customHeight="1" x14ac:dyDescent="0.2">
      <c r="A39" s="2"/>
      <c r="B39" s="2"/>
      <c r="M39" s="2"/>
      <c r="N39" s="3"/>
      <c r="O39" s="2"/>
      <c r="P39" s="2"/>
      <c r="Q39" s="2"/>
      <c r="S39" s="140" t="s">
        <v>108</v>
      </c>
      <c r="T39" s="141">
        <v>7200</v>
      </c>
      <c r="U39" s="141">
        <v>10800</v>
      </c>
      <c r="V39" s="141">
        <v>360</v>
      </c>
      <c r="W39" s="141">
        <v>540</v>
      </c>
      <c r="X39" s="141">
        <v>40500</v>
      </c>
      <c r="Y39" s="141">
        <v>1000</v>
      </c>
      <c r="Z39" s="141">
        <v>1200</v>
      </c>
      <c r="AA39" s="141">
        <v>240</v>
      </c>
      <c r="AB39" s="141">
        <v>800</v>
      </c>
      <c r="AC39" s="141">
        <v>0</v>
      </c>
      <c r="AD39" s="141">
        <v>0</v>
      </c>
      <c r="AE39" s="141">
        <v>0</v>
      </c>
      <c r="AF39" s="139">
        <f t="shared" si="2"/>
        <v>62640</v>
      </c>
      <c r="AH39" s="2"/>
      <c r="AI39" s="2"/>
      <c r="AK39" s="664" t="s">
        <v>56</v>
      </c>
      <c r="AL39" s="693" t="s">
        <v>22</v>
      </c>
      <c r="AM39" s="669">
        <v>1810</v>
      </c>
      <c r="AN39" s="669">
        <v>2520</v>
      </c>
      <c r="AO39" s="669">
        <v>3260</v>
      </c>
      <c r="AP39" s="679">
        <v>3970</v>
      </c>
      <c r="AQ39" s="679">
        <v>5720</v>
      </c>
      <c r="AR39" s="679">
        <v>7220</v>
      </c>
      <c r="AW39" s="580"/>
      <c r="BA39" s="523"/>
      <c r="BB39" s="523"/>
      <c r="BC39" s="523"/>
      <c r="BD39" s="577"/>
      <c r="BE39" s="523"/>
      <c r="BF39" s="523"/>
      <c r="BG39" s="526"/>
      <c r="BH39" s="554"/>
      <c r="BI39" s="571"/>
    </row>
    <row r="40" spans="1:61" ht="12" customHeight="1" thickBot="1" x14ac:dyDescent="0.25">
      <c r="O40" s="2"/>
      <c r="P40" s="2"/>
      <c r="Q40" s="2"/>
      <c r="S40" s="142" t="s">
        <v>109</v>
      </c>
      <c r="T40" s="143">
        <v>7200</v>
      </c>
      <c r="U40" s="143">
        <v>14400</v>
      </c>
      <c r="V40" s="143">
        <v>360</v>
      </c>
      <c r="W40" s="143">
        <v>720</v>
      </c>
      <c r="X40" s="143">
        <v>55800</v>
      </c>
      <c r="Y40" s="143">
        <v>1000</v>
      </c>
      <c r="Z40" s="143">
        <v>1500</v>
      </c>
      <c r="AA40" s="143">
        <v>300</v>
      </c>
      <c r="AB40" s="143">
        <v>1000</v>
      </c>
      <c r="AC40" s="143">
        <v>0</v>
      </c>
      <c r="AD40" s="143">
        <v>0</v>
      </c>
      <c r="AE40" s="143">
        <v>0</v>
      </c>
      <c r="AF40" s="144">
        <f t="shared" si="2"/>
        <v>82280</v>
      </c>
      <c r="AH40" s="2"/>
      <c r="AI40" s="2"/>
      <c r="AK40" s="664" t="s">
        <v>57</v>
      </c>
      <c r="AL40" s="693" t="s">
        <v>27</v>
      </c>
      <c r="AM40" s="669">
        <v>1400</v>
      </c>
      <c r="AN40" s="669">
        <v>1425</v>
      </c>
      <c r="AO40" s="669">
        <v>2650</v>
      </c>
      <c r="AP40" s="679">
        <v>2900</v>
      </c>
      <c r="AQ40" s="679">
        <v>4250</v>
      </c>
      <c r="AR40" s="679">
        <v>5600</v>
      </c>
      <c r="AW40" s="580"/>
      <c r="BA40" s="523"/>
      <c r="BB40" s="523"/>
      <c r="BC40" s="523"/>
      <c r="BD40" s="577"/>
      <c r="BE40" s="523"/>
      <c r="BF40" s="523"/>
      <c r="BG40" s="526"/>
      <c r="BH40" s="554"/>
      <c r="BI40" s="571"/>
    </row>
    <row r="41" spans="1:61" ht="12" customHeight="1" thickBot="1" x14ac:dyDescent="0.25">
      <c r="A41" s="53"/>
      <c r="B41" s="53"/>
      <c r="C41" s="894" t="s">
        <v>374</v>
      </c>
      <c r="D41" s="895"/>
      <c r="E41" s="895"/>
      <c r="F41" s="895"/>
      <c r="G41" s="896"/>
      <c r="H41" s="46"/>
      <c r="I41" s="46"/>
      <c r="J41" s="46"/>
      <c r="K41" s="46"/>
      <c r="L41" s="46"/>
      <c r="M41" s="2"/>
      <c r="N41" s="3"/>
      <c r="O41" s="2"/>
      <c r="P41" s="2"/>
      <c r="Q41" s="2"/>
      <c r="S41" s="948" t="s">
        <v>110</v>
      </c>
      <c r="T41" s="949"/>
      <c r="U41" s="949"/>
      <c r="V41" s="949"/>
      <c r="W41" s="949"/>
      <c r="X41" s="949"/>
      <c r="Y41" s="949"/>
      <c r="Z41" s="949"/>
      <c r="AA41" s="949"/>
      <c r="AB41" s="949"/>
      <c r="AC41" s="949"/>
      <c r="AD41" s="949"/>
      <c r="AE41" s="949"/>
      <c r="AF41" s="950"/>
      <c r="AG41" s="2"/>
      <c r="AH41" s="2"/>
      <c r="AI41" s="2"/>
      <c r="AK41" s="664" t="s">
        <v>58</v>
      </c>
      <c r="AL41" s="693" t="s">
        <v>29</v>
      </c>
      <c r="AM41" s="669">
        <v>1200</v>
      </c>
      <c r="AN41" s="669">
        <v>1200</v>
      </c>
      <c r="AO41" s="669">
        <v>1200</v>
      </c>
      <c r="AP41" s="679">
        <v>1400</v>
      </c>
      <c r="AQ41" s="679">
        <v>2600</v>
      </c>
      <c r="AR41" s="679">
        <v>3900</v>
      </c>
      <c r="AW41" s="580"/>
      <c r="BA41" s="523"/>
      <c r="BB41" s="523"/>
      <c r="BC41" s="523"/>
      <c r="BD41" s="577"/>
      <c r="BE41" s="523"/>
      <c r="BF41" s="523"/>
      <c r="BG41" s="526"/>
      <c r="BH41" s="554"/>
      <c r="BI41" s="571"/>
    </row>
    <row r="42" spans="1:61" ht="12" customHeight="1" thickBot="1" x14ac:dyDescent="0.25">
      <c r="A42" s="53"/>
      <c r="B42" s="53"/>
      <c r="C42" s="897"/>
      <c r="D42" s="898"/>
      <c r="E42" s="898"/>
      <c r="F42" s="898"/>
      <c r="G42" s="899"/>
      <c r="H42" s="456"/>
      <c r="I42" s="2"/>
      <c r="J42" s="2"/>
      <c r="K42" s="2"/>
      <c r="L42" s="2"/>
      <c r="M42" s="2"/>
      <c r="N42" s="3"/>
      <c r="O42" s="2"/>
      <c r="P42" s="2"/>
      <c r="Q42" s="2"/>
      <c r="AE42" s="2"/>
      <c r="AF42" s="2"/>
      <c r="AG42" s="2"/>
      <c r="AH42" s="2"/>
      <c r="AI42" s="2"/>
      <c r="AK42" s="664" t="s">
        <v>59</v>
      </c>
      <c r="AL42" s="695" t="s">
        <v>2</v>
      </c>
      <c r="AM42" s="669">
        <v>3700</v>
      </c>
      <c r="AN42" s="669">
        <v>4300</v>
      </c>
      <c r="AO42" s="669">
        <v>5100</v>
      </c>
      <c r="AP42" s="679">
        <v>6500</v>
      </c>
      <c r="AQ42" s="679">
        <v>7600</v>
      </c>
      <c r="AR42" s="679">
        <v>10800</v>
      </c>
      <c r="AT42" s="528">
        <f>AM42</f>
        <v>3700</v>
      </c>
      <c r="AU42" s="528">
        <f t="shared" ref="AU42:AY42" si="5">AN42</f>
        <v>4300</v>
      </c>
      <c r="AV42" s="528">
        <f t="shared" si="5"/>
        <v>5100</v>
      </c>
      <c r="AW42" s="581">
        <f t="shared" si="5"/>
        <v>6500</v>
      </c>
      <c r="AX42" s="528">
        <f t="shared" si="5"/>
        <v>7600</v>
      </c>
      <c r="AY42" s="528">
        <f t="shared" si="5"/>
        <v>10800</v>
      </c>
      <c r="BA42" s="554"/>
      <c r="BB42" s="554"/>
      <c r="BC42" s="554"/>
      <c r="BD42" s="571"/>
      <c r="BE42" s="554"/>
      <c r="BF42" s="554"/>
      <c r="BG42" s="525"/>
      <c r="BH42" s="554"/>
      <c r="BI42" s="571"/>
    </row>
    <row r="43" spans="1:61" s="2" customFormat="1" ht="12" customHeight="1" thickBot="1" x14ac:dyDescent="0.25">
      <c r="C43" s="19" t="s">
        <v>14</v>
      </c>
      <c r="D43" s="551"/>
      <c r="E43" s="553" t="s">
        <v>33</v>
      </c>
      <c r="F43" s="586" t="s">
        <v>64</v>
      </c>
      <c r="G43" s="87" t="s">
        <v>13</v>
      </c>
      <c r="N43" s="3"/>
      <c r="AK43" s="664" t="s">
        <v>60</v>
      </c>
      <c r="AL43" s="693" t="s">
        <v>4</v>
      </c>
      <c r="AM43" s="669">
        <v>4180</v>
      </c>
      <c r="AN43" s="669">
        <v>4430</v>
      </c>
      <c r="AO43" s="669">
        <v>5280</v>
      </c>
      <c r="AP43" s="679">
        <v>6980</v>
      </c>
      <c r="AQ43" s="679">
        <v>9980</v>
      </c>
      <c r="AR43" s="679">
        <v>12830</v>
      </c>
      <c r="AW43" s="570"/>
      <c r="BA43" s="554"/>
      <c r="BB43" s="554"/>
      <c r="BC43" s="554"/>
      <c r="BD43" s="571"/>
      <c r="BE43" s="554"/>
      <c r="BF43" s="554"/>
      <c r="BG43" s="525"/>
      <c r="BH43" s="554"/>
      <c r="BI43" s="571"/>
    </row>
    <row r="44" spans="1:61" s="2" customFormat="1" ht="12" customHeight="1" thickBot="1" x14ac:dyDescent="0.25">
      <c r="C44" s="48" t="s">
        <v>53</v>
      </c>
      <c r="D44" s="813" t="s">
        <v>16</v>
      </c>
      <c r="E44" s="782">
        <v>0</v>
      </c>
      <c r="F44" s="795">
        <v>0</v>
      </c>
      <c r="G44" s="792">
        <f>SUM(E44:F44)</f>
        <v>0</v>
      </c>
      <c r="H44" s="768" t="s">
        <v>375</v>
      </c>
      <c r="N44" s="3"/>
      <c r="AK44" s="664" t="s">
        <v>61</v>
      </c>
      <c r="AL44" s="696" t="s">
        <v>6</v>
      </c>
      <c r="AM44" s="669">
        <v>1615</v>
      </c>
      <c r="AN44" s="669">
        <v>2140</v>
      </c>
      <c r="AO44" s="669">
        <v>2665</v>
      </c>
      <c r="AP44" s="679">
        <v>3855</v>
      </c>
      <c r="AQ44" s="679">
        <v>5605</v>
      </c>
      <c r="AR44" s="679">
        <v>7355</v>
      </c>
      <c r="AT44" s="530">
        <f>AM44+AM45+AM46</f>
        <v>13162.080000000002</v>
      </c>
      <c r="AU44" s="530">
        <f t="shared" ref="AU44:AY44" si="6">AN44+AN45+AN46</f>
        <v>16960.139040000002</v>
      </c>
      <c r="AV44" s="530">
        <f t="shared" si="6"/>
        <v>21195.184000000001</v>
      </c>
      <c r="AW44" s="582">
        <f t="shared" si="6"/>
        <v>28494.2</v>
      </c>
      <c r="AX44" s="530">
        <f t="shared" si="6"/>
        <v>41223.4</v>
      </c>
      <c r="AY44" s="530">
        <f t="shared" si="6"/>
        <v>53819</v>
      </c>
      <c r="BA44" s="554">
        <f>AT44/$BA$29</f>
        <v>32.905200000000008</v>
      </c>
      <c r="BB44" s="554">
        <f>AU44/$BB$29</f>
        <v>30.836616436363641</v>
      </c>
      <c r="BC44" s="554">
        <f>AV44/$BC$29</f>
        <v>30.278834285714286</v>
      </c>
      <c r="BD44" s="571">
        <f>AW44/$BD$29</f>
        <v>28.494199999999999</v>
      </c>
      <c r="BE44" s="554">
        <f>AX44/$BE$29</f>
        <v>27.482266666666668</v>
      </c>
      <c r="BF44" s="554">
        <f>AY44/$BF$29</f>
        <v>26.909500000000001</v>
      </c>
      <c r="BG44" s="525"/>
      <c r="BH44" s="554">
        <f>SUM(BA44:BC44)/3</f>
        <v>31.340216907359309</v>
      </c>
      <c r="BI44" s="571">
        <f>SUM(BD44:BF44)/3</f>
        <v>27.628655555555554</v>
      </c>
    </row>
    <row r="45" spans="1:61" s="2" customFormat="1" ht="12" customHeight="1" x14ac:dyDescent="0.2">
      <c r="C45" s="48" t="s">
        <v>54</v>
      </c>
      <c r="D45" s="814" t="s">
        <v>18</v>
      </c>
      <c r="E45" s="783">
        <v>0</v>
      </c>
      <c r="F45" s="796">
        <v>0</v>
      </c>
      <c r="G45" s="793">
        <f t="shared" ref="G45:G54" si="7">SUM(E45:F45)</f>
        <v>0</v>
      </c>
      <c r="H45" s="768" t="s">
        <v>390</v>
      </c>
      <c r="N45" s="3"/>
      <c r="R45" s="970" t="s">
        <v>282</v>
      </c>
      <c r="S45" s="951"/>
      <c r="T45" s="951"/>
      <c r="U45" s="951"/>
      <c r="V45" s="971"/>
      <c r="Y45" s="122"/>
      <c r="Z45" s="122"/>
      <c r="AA45" s="122"/>
      <c r="AB45" s="122"/>
      <c r="AC45" s="18"/>
      <c r="AK45" s="664" t="s">
        <v>62</v>
      </c>
      <c r="AL45" s="696" t="s">
        <v>8</v>
      </c>
      <c r="AM45" s="669">
        <v>300</v>
      </c>
      <c r="AN45" s="669">
        <v>400</v>
      </c>
      <c r="AO45" s="669">
        <v>500</v>
      </c>
      <c r="AP45" s="679">
        <v>700</v>
      </c>
      <c r="AQ45" s="679">
        <v>900</v>
      </c>
      <c r="AR45" s="679">
        <v>900</v>
      </c>
      <c r="AW45" s="570"/>
    </row>
    <row r="46" spans="1:61" s="2" customFormat="1" ht="12" customHeight="1" thickBot="1" x14ac:dyDescent="0.25">
      <c r="C46" s="48" t="s">
        <v>55</v>
      </c>
      <c r="D46" s="815" t="s">
        <v>20</v>
      </c>
      <c r="E46" s="783">
        <v>0</v>
      </c>
      <c r="F46" s="796">
        <v>0</v>
      </c>
      <c r="G46" s="793">
        <f>SUM(E46:F46)</f>
        <v>0</v>
      </c>
      <c r="H46" s="768" t="s">
        <v>391</v>
      </c>
      <c r="N46" s="3"/>
      <c r="R46" s="972"/>
      <c r="S46" s="891"/>
      <c r="T46" s="891"/>
      <c r="U46" s="891"/>
      <c r="V46" s="973"/>
      <c r="W46" s="122"/>
      <c r="X46" s="122"/>
      <c r="Y46" s="122"/>
      <c r="Z46" s="122"/>
      <c r="AA46" s="122"/>
      <c r="AB46" s="122"/>
      <c r="AC46" s="18"/>
      <c r="AK46" s="664" t="s">
        <v>63</v>
      </c>
      <c r="AL46" s="696" t="s">
        <v>10</v>
      </c>
      <c r="AM46" s="682">
        <v>11247.080000000002</v>
      </c>
      <c r="AN46" s="682">
        <v>14420.13904</v>
      </c>
      <c r="AO46" s="682">
        <v>18030.184000000001</v>
      </c>
      <c r="AP46" s="679">
        <v>23939.200000000001</v>
      </c>
      <c r="AQ46" s="679">
        <v>34718.400000000001</v>
      </c>
      <c r="AR46" s="679">
        <v>45564</v>
      </c>
      <c r="AW46" s="570"/>
    </row>
    <row r="47" spans="1:61" s="2" customFormat="1" ht="12" customHeight="1" x14ac:dyDescent="0.2">
      <c r="C47" s="48" t="s">
        <v>56</v>
      </c>
      <c r="D47" s="814" t="s">
        <v>22</v>
      </c>
      <c r="E47" s="783">
        <v>0</v>
      </c>
      <c r="F47" s="796">
        <v>0</v>
      </c>
      <c r="G47" s="793">
        <f t="shared" si="7"/>
        <v>0</v>
      </c>
      <c r="H47" s="768" t="s">
        <v>392</v>
      </c>
      <c r="N47" s="3"/>
      <c r="R47" s="95"/>
      <c r="S47" s="96"/>
      <c r="T47" s="97" t="s">
        <v>33</v>
      </c>
      <c r="U47" s="97"/>
      <c r="V47" s="97"/>
      <c r="W47" s="122"/>
      <c r="X47" s="122"/>
      <c r="Y47" s="122"/>
      <c r="Z47" s="122"/>
      <c r="AA47" s="122"/>
      <c r="AB47" s="122"/>
      <c r="AC47" s="18"/>
      <c r="AK47" s="664"/>
      <c r="AL47" s="668"/>
      <c r="AM47" s="669"/>
      <c r="AN47" s="669"/>
      <c r="AO47" s="669"/>
      <c r="AP47" s="683"/>
      <c r="AQ47" s="683"/>
      <c r="AR47" s="683"/>
      <c r="AW47" s="570"/>
    </row>
    <row r="48" spans="1:61" s="2" customFormat="1" ht="12" customHeight="1" thickBot="1" x14ac:dyDescent="0.25">
      <c r="C48" s="48" t="s">
        <v>57</v>
      </c>
      <c r="D48" s="814" t="s">
        <v>27</v>
      </c>
      <c r="E48" s="783">
        <v>0</v>
      </c>
      <c r="F48" s="796">
        <v>0</v>
      </c>
      <c r="G48" s="793">
        <f t="shared" si="7"/>
        <v>0</v>
      </c>
      <c r="H48" s="768" t="s">
        <v>393</v>
      </c>
      <c r="N48" s="3"/>
      <c r="R48" s="98" t="s">
        <v>121</v>
      </c>
      <c r="S48" s="99"/>
      <c r="T48" s="100" t="s">
        <v>122</v>
      </c>
      <c r="U48" s="100" t="s">
        <v>38</v>
      </c>
      <c r="V48" s="99" t="s">
        <v>123</v>
      </c>
      <c r="W48" s="122"/>
      <c r="X48" s="122"/>
      <c r="Y48" s="122"/>
      <c r="Z48" s="122"/>
      <c r="AA48" s="122"/>
      <c r="AB48" s="122"/>
      <c r="AK48" s="672" t="s">
        <v>875</v>
      </c>
      <c r="AL48" s="665"/>
      <c r="AM48" s="684">
        <v>45454.58</v>
      </c>
      <c r="AN48" s="684">
        <v>58654.149039999997</v>
      </c>
      <c r="AO48" s="684">
        <v>73563.684000000008</v>
      </c>
      <c r="AP48" s="684">
        <v>99239.2</v>
      </c>
      <c r="AQ48" s="684">
        <v>144443.4</v>
      </c>
      <c r="AR48" s="684">
        <v>189439</v>
      </c>
      <c r="AT48" s="564">
        <f>SUM(AT36:AT44)</f>
        <v>45454.58</v>
      </c>
      <c r="AU48" s="564">
        <f t="shared" ref="AU48:AY48" si="8">SUM(AU36:AU44)</f>
        <v>58654.149039999997</v>
      </c>
      <c r="AV48" s="564">
        <f t="shared" si="8"/>
        <v>73563.684000000008</v>
      </c>
      <c r="AW48" s="583">
        <f t="shared" si="8"/>
        <v>99239.2</v>
      </c>
      <c r="AX48" s="564">
        <f t="shared" si="8"/>
        <v>144443.4</v>
      </c>
      <c r="AY48" s="564">
        <f t="shared" si="8"/>
        <v>189439</v>
      </c>
    </row>
    <row r="49" spans="3:44" s="2" customFormat="1" ht="12" customHeight="1" x14ac:dyDescent="0.2">
      <c r="C49" s="48" t="s">
        <v>58</v>
      </c>
      <c r="D49" s="814" t="s">
        <v>29</v>
      </c>
      <c r="E49" s="783">
        <v>0</v>
      </c>
      <c r="F49" s="796">
        <v>0</v>
      </c>
      <c r="G49" s="793">
        <f t="shared" si="7"/>
        <v>0</v>
      </c>
      <c r="H49" s="768" t="s">
        <v>394</v>
      </c>
      <c r="N49" s="3"/>
      <c r="R49" s="101" t="s">
        <v>283</v>
      </c>
      <c r="S49" s="22" t="s">
        <v>284</v>
      </c>
      <c r="T49" s="106">
        <v>1</v>
      </c>
      <c r="U49" s="80">
        <f>IF($G$15&lt;=400,T73,(IF($G$15&lt;=550,T74,(IF($G$15&lt;=700,T75,(IF($G$15&lt;=1000,T76,(IF($G$15&lt;=1500,T77,(IF($G$15&gt;1500,T78)))))))))))</f>
        <v>900</v>
      </c>
      <c r="V49" s="73">
        <f>T49*U49</f>
        <v>900</v>
      </c>
      <c r="W49" s="60" t="s">
        <v>41</v>
      </c>
      <c r="X49" s="122"/>
      <c r="Y49" s="122"/>
      <c r="Z49" s="122"/>
      <c r="AA49" s="122"/>
      <c r="AB49" s="122"/>
      <c r="AK49" s="685" t="s">
        <v>876</v>
      </c>
      <c r="AL49" s="665"/>
      <c r="AM49" s="686">
        <v>0.1</v>
      </c>
      <c r="AN49" s="686">
        <v>0.1</v>
      </c>
      <c r="AO49" s="686">
        <v>0.1</v>
      </c>
      <c r="AP49" s="686">
        <v>0.1</v>
      </c>
      <c r="AQ49" s="686">
        <v>0.1</v>
      </c>
      <c r="AR49" s="686">
        <v>0.1</v>
      </c>
    </row>
    <row r="50" spans="3:44" s="2" customFormat="1" ht="12" customHeight="1" thickBot="1" x14ac:dyDescent="0.25">
      <c r="C50" s="48" t="s">
        <v>59</v>
      </c>
      <c r="D50" s="816" t="s">
        <v>2</v>
      </c>
      <c r="E50" s="783">
        <v>0</v>
      </c>
      <c r="F50" s="796">
        <v>0</v>
      </c>
      <c r="G50" s="793">
        <f t="shared" si="7"/>
        <v>0</v>
      </c>
      <c r="H50" s="768" t="s">
        <v>395</v>
      </c>
      <c r="I50" s="15"/>
      <c r="N50" s="3"/>
      <c r="R50" s="101" t="s">
        <v>285</v>
      </c>
      <c r="S50" s="22" t="s">
        <v>286</v>
      </c>
      <c r="T50" s="106">
        <v>1</v>
      </c>
      <c r="U50" s="80">
        <f>IF($G$15&lt;=400,U73,(IF($G$15&lt;=550,U74,(IF($G$15&lt;=700,U75,(IF($G$15&lt;=1000,U76,(IF($G$15&lt;=1500,U77,(IF($G$15&gt;1500,U78)))))))))))</f>
        <v>150</v>
      </c>
      <c r="V50" s="73">
        <f>T50*U50</f>
        <v>150</v>
      </c>
      <c r="W50" s="60" t="s">
        <v>36</v>
      </c>
      <c r="X50" s="122"/>
      <c r="Y50" s="122"/>
      <c r="Z50" s="122"/>
      <c r="AA50" s="122"/>
      <c r="AB50" s="122"/>
      <c r="AK50" s="687" t="s">
        <v>877</v>
      </c>
      <c r="AL50" s="688"/>
      <c r="AM50" s="689">
        <v>50000.038</v>
      </c>
      <c r="AN50" s="689">
        <v>64519.563943999994</v>
      </c>
      <c r="AO50" s="689">
        <v>80920.052400000015</v>
      </c>
      <c r="AP50" s="689">
        <v>109163.12</v>
      </c>
      <c r="AQ50" s="689">
        <v>158887.74</v>
      </c>
      <c r="AR50" s="689">
        <v>208382.9</v>
      </c>
    </row>
    <row r="51" spans="3:44" s="2" customFormat="1" ht="12" customHeight="1" x14ac:dyDescent="0.2">
      <c r="C51" s="48" t="s">
        <v>60</v>
      </c>
      <c r="D51" s="814" t="s">
        <v>4</v>
      </c>
      <c r="E51" s="783">
        <v>0</v>
      </c>
      <c r="F51" s="796">
        <v>0</v>
      </c>
      <c r="G51" s="793">
        <f t="shared" si="7"/>
        <v>0</v>
      </c>
      <c r="H51" s="768" t="s">
        <v>396</v>
      </c>
      <c r="I51" s="15"/>
      <c r="N51" s="3"/>
      <c r="R51" s="101" t="s">
        <v>287</v>
      </c>
      <c r="S51" s="22" t="s">
        <v>288</v>
      </c>
      <c r="T51" s="106">
        <v>1</v>
      </c>
      <c r="U51" s="80">
        <f>IF($G$15&lt;=400,V73,(IF($G$15&lt;=550,V74,(IF($G$15&lt;=700,V75,(IF($G$15&lt;=1000,V76,(IF($G$15&lt;=1500,V77,(IF($G$15&gt;1500,V78)))))))))))</f>
        <v>100</v>
      </c>
      <c r="V51" s="73">
        <f>T51*U51</f>
        <v>100</v>
      </c>
      <c r="W51" s="60"/>
      <c r="X51" s="122"/>
      <c r="Y51" s="122"/>
      <c r="Z51" s="122"/>
      <c r="AA51" s="122"/>
      <c r="AB51" s="122"/>
    </row>
    <row r="52" spans="3:44" s="2" customFormat="1" ht="12" customHeight="1" x14ac:dyDescent="0.2">
      <c r="C52" s="48" t="s">
        <v>61</v>
      </c>
      <c r="D52" s="817" t="s">
        <v>6</v>
      </c>
      <c r="E52" s="783">
        <v>0</v>
      </c>
      <c r="F52" s="796">
        <v>0</v>
      </c>
      <c r="G52" s="793">
        <f t="shared" si="7"/>
        <v>0</v>
      </c>
      <c r="H52" s="768" t="s">
        <v>397</v>
      </c>
      <c r="I52" s="15"/>
      <c r="N52" s="3"/>
      <c r="R52" s="101" t="s">
        <v>289</v>
      </c>
      <c r="S52" s="22" t="s">
        <v>290</v>
      </c>
      <c r="T52" s="106">
        <v>1</v>
      </c>
      <c r="U52" s="80">
        <f>IF($G$15&lt;=400,W73,(IF($G$15&lt;=550,W74,(IF($G$15&lt;=700,W75,(IF($G$15&lt;=1000,W76,(IF($G$15&lt;=1500,W77,(IF($G$15&gt;1500,W78)))))))))))</f>
        <v>0</v>
      </c>
      <c r="V52" s="73">
        <f>T52*U52</f>
        <v>0</v>
      </c>
      <c r="W52" s="60" t="s">
        <v>39</v>
      </c>
      <c r="X52" s="122"/>
      <c r="Y52" s="122"/>
      <c r="Z52" s="122"/>
      <c r="AA52" s="122"/>
      <c r="AB52" s="122"/>
      <c r="AC52" s="18"/>
    </row>
    <row r="53" spans="3:44" s="2" customFormat="1" ht="12" customHeight="1" x14ac:dyDescent="0.2">
      <c r="C53" s="48" t="s">
        <v>62</v>
      </c>
      <c r="D53" s="817" t="s">
        <v>8</v>
      </c>
      <c r="E53" s="783">
        <v>0</v>
      </c>
      <c r="F53" s="796">
        <v>0</v>
      </c>
      <c r="G53" s="793">
        <f t="shared" si="7"/>
        <v>0</v>
      </c>
      <c r="H53" s="768" t="s">
        <v>398</v>
      </c>
      <c r="I53" s="15"/>
      <c r="N53" s="3"/>
      <c r="R53" s="105" t="s">
        <v>291</v>
      </c>
      <c r="S53" s="145" t="s">
        <v>292</v>
      </c>
      <c r="T53" s="146">
        <v>1</v>
      </c>
      <c r="U53" s="147">
        <f>IF($G$15&lt;=400,X73,(IF($G$15&lt;=550,X74,(IF($G$15&lt;=700,X75,(IF($G$15&lt;=1000,X76,(IF($G$15&lt;=1500,X77,(IF($G$15&gt;1500,X78)))))))))))</f>
        <v>600</v>
      </c>
      <c r="V53" s="74">
        <f>T53*U53</f>
        <v>600</v>
      </c>
      <c r="W53" s="122"/>
      <c r="X53" s="122"/>
      <c r="Y53" s="122"/>
      <c r="Z53" s="122"/>
      <c r="AA53" s="122"/>
      <c r="AB53" s="122"/>
      <c r="AC53" s="18"/>
    </row>
    <row r="54" spans="3:44" s="2" customFormat="1" ht="12" customHeight="1" thickBot="1" x14ac:dyDescent="0.25">
      <c r="C54" s="48" t="s">
        <v>63</v>
      </c>
      <c r="D54" s="818" t="s">
        <v>10</v>
      </c>
      <c r="E54" s="784">
        <v>0</v>
      </c>
      <c r="F54" s="797">
        <v>0</v>
      </c>
      <c r="G54" s="794">
        <f t="shared" si="7"/>
        <v>0</v>
      </c>
      <c r="H54" s="768" t="s">
        <v>399</v>
      </c>
      <c r="I54" s="15"/>
      <c r="N54" s="3"/>
      <c r="R54" s="101"/>
      <c r="S54" s="22"/>
      <c r="T54" s="80"/>
      <c r="U54" s="80"/>
      <c r="V54" s="73"/>
      <c r="W54" s="122"/>
      <c r="X54" s="122"/>
      <c r="Y54" s="122"/>
      <c r="Z54" s="122"/>
      <c r="AA54" s="122"/>
      <c r="AB54" s="122"/>
      <c r="AC54" s="18"/>
    </row>
    <row r="55" spans="3:44" s="2" customFormat="1" ht="12" customHeight="1" thickBot="1" x14ac:dyDescent="0.25">
      <c r="C55" s="25" t="s">
        <v>387</v>
      </c>
      <c r="D55" s="49"/>
      <c r="E55" s="75">
        <f>SUM(E44:E54)</f>
        <v>0</v>
      </c>
      <c r="F55" s="76">
        <f>SUM(F44:F54)</f>
        <v>0</v>
      </c>
      <c r="G55" s="75">
        <f>SUM(G44:G54)</f>
        <v>0</v>
      </c>
      <c r="H55" s="768"/>
      <c r="N55" s="3"/>
      <c r="R55" s="113" t="s">
        <v>293</v>
      </c>
      <c r="S55" s="114"/>
      <c r="T55" s="148"/>
      <c r="U55" s="148"/>
      <c r="V55" s="116">
        <f>SUM(V49:V53)</f>
        <v>1750</v>
      </c>
      <c r="W55" s="122"/>
      <c r="X55" s="122"/>
      <c r="Y55" s="122"/>
      <c r="Z55" s="122"/>
      <c r="AA55" s="122"/>
      <c r="AB55" s="122"/>
      <c r="AC55" s="18"/>
    </row>
    <row r="56" spans="3:44" s="2" customFormat="1" ht="12" customHeight="1" thickTop="1" thickBot="1" x14ac:dyDescent="0.25">
      <c r="C56" s="86"/>
      <c r="E56" s="261"/>
      <c r="G56" s="261"/>
      <c r="H56" s="382"/>
      <c r="N56" s="3"/>
      <c r="R56" s="18"/>
      <c r="S56" s="32"/>
      <c r="T56" s="32"/>
      <c r="U56" s="32"/>
      <c r="V56" s="122"/>
      <c r="W56" s="122"/>
      <c r="X56" s="122"/>
      <c r="Y56" s="122"/>
      <c r="Z56" s="122"/>
      <c r="AA56" s="122"/>
      <c r="AB56" s="122"/>
      <c r="AC56" s="18"/>
    </row>
    <row r="57" spans="3:44" s="2" customFormat="1" ht="12" customHeight="1" thickBot="1" x14ac:dyDescent="0.25">
      <c r="C57" s="267" t="s">
        <v>389</v>
      </c>
      <c r="E57" s="281">
        <v>0</v>
      </c>
      <c r="F57" s="282">
        <v>0</v>
      </c>
      <c r="G57" s="262">
        <f>SUM(E57:F57)</f>
        <v>0</v>
      </c>
      <c r="H57" s="768" t="s">
        <v>400</v>
      </c>
      <c r="N57" s="3"/>
      <c r="R57" s="945" t="s">
        <v>294</v>
      </c>
      <c r="S57" s="946"/>
      <c r="T57" s="946"/>
      <c r="U57" s="946"/>
      <c r="V57" s="946"/>
      <c r="W57" s="946"/>
      <c r="X57" s="947"/>
      <c r="Y57" s="122"/>
      <c r="Z57" s="122"/>
      <c r="AA57" s="122"/>
      <c r="AB57" s="122"/>
      <c r="AC57" s="18"/>
    </row>
    <row r="58" spans="3:44" s="2" customFormat="1" ht="12" customHeight="1" thickBot="1" x14ac:dyDescent="0.25">
      <c r="C58" s="268"/>
      <c r="D58" s="69"/>
      <c r="E58" s="75"/>
      <c r="F58" s="76"/>
      <c r="G58" s="75"/>
      <c r="H58" s="382"/>
      <c r="N58" s="3"/>
      <c r="R58" s="149" t="s">
        <v>23</v>
      </c>
      <c r="S58" s="150" t="s">
        <v>24</v>
      </c>
      <c r="T58" s="151"/>
      <c r="U58" s="151"/>
      <c r="V58" s="151"/>
      <c r="W58" s="151"/>
      <c r="X58" s="152"/>
      <c r="Y58" s="122"/>
      <c r="Z58" s="122"/>
      <c r="AA58" s="122"/>
      <c r="AB58" s="122"/>
      <c r="AC58" s="18"/>
    </row>
    <row r="59" spans="3:44" s="2" customFormat="1" ht="12" customHeight="1" x14ac:dyDescent="0.2">
      <c r="C59" s="263" t="s">
        <v>388</v>
      </c>
      <c r="D59" s="264"/>
      <c r="E59" s="374">
        <f>IF(E57=0,0,(E57-E55)/E57)</f>
        <v>0</v>
      </c>
      <c r="F59" s="266">
        <f>IF(F57=0,0,(F57-F55)/F57)</f>
        <v>0</v>
      </c>
      <c r="G59" s="265">
        <f>IF(G57=0,0,(G57-G55)/G57)</f>
        <v>0</v>
      </c>
      <c r="H59" s="768"/>
      <c r="N59" s="3"/>
      <c r="R59" s="68">
        <v>1</v>
      </c>
      <c r="S59" s="153" t="s">
        <v>295</v>
      </c>
      <c r="T59" s="154"/>
      <c r="U59" s="154"/>
      <c r="V59" s="154"/>
      <c r="W59" s="154"/>
      <c r="X59" s="155"/>
      <c r="Y59" s="122"/>
      <c r="Z59" s="122"/>
      <c r="AA59" s="122"/>
      <c r="AB59" s="122"/>
      <c r="AC59" s="18"/>
    </row>
    <row r="60" spans="3:44" s="2" customFormat="1" ht="12" customHeight="1" x14ac:dyDescent="0.2">
      <c r="C60" s="61" t="s">
        <v>65</v>
      </c>
      <c r="D60" s="257"/>
      <c r="E60" s="76"/>
      <c r="F60" s="283">
        <v>0</v>
      </c>
      <c r="G60" s="62" t="s">
        <v>40</v>
      </c>
      <c r="H60" s="768" t="s">
        <v>401</v>
      </c>
      <c r="N60" s="3"/>
      <c r="R60" s="68"/>
      <c r="S60" s="156" t="s">
        <v>296</v>
      </c>
      <c r="T60" s="157"/>
      <c r="U60" s="157"/>
      <c r="V60" s="157"/>
      <c r="W60" s="157"/>
      <c r="X60" s="158"/>
      <c r="Y60" s="122"/>
      <c r="Z60" s="122"/>
      <c r="AA60" s="122"/>
      <c r="AB60" s="122"/>
      <c r="AC60" s="18"/>
    </row>
    <row r="61" spans="3:44" s="2" customFormat="1" ht="12" customHeight="1" thickBot="1" x14ac:dyDescent="0.25">
      <c r="C61" s="256" t="s">
        <v>25</v>
      </c>
      <c r="D61" s="257"/>
      <c r="E61" s="76"/>
      <c r="F61" s="77">
        <f>F57-F60</f>
        <v>0</v>
      </c>
      <c r="G61" s="63" t="s">
        <v>40</v>
      </c>
      <c r="N61" s="3"/>
      <c r="R61" s="68">
        <v>2</v>
      </c>
      <c r="S61" s="156" t="s">
        <v>297</v>
      </c>
      <c r="T61" s="157"/>
      <c r="U61" s="157"/>
      <c r="V61" s="157"/>
      <c r="W61" s="157"/>
      <c r="X61" s="158"/>
      <c r="Y61" s="122"/>
      <c r="Z61" s="122"/>
      <c r="AA61" s="122"/>
      <c r="AB61" s="122"/>
      <c r="AC61" s="18"/>
    </row>
    <row r="62" spans="3:44" s="2" customFormat="1" ht="12" customHeight="1" thickBot="1" x14ac:dyDescent="0.25">
      <c r="C62" s="64" t="s">
        <v>11</v>
      </c>
      <c r="D62" s="65"/>
      <c r="E62" s="69"/>
      <c r="F62" s="47"/>
      <c r="G62" s="78">
        <f>E57+F61</f>
        <v>0</v>
      </c>
      <c r="H62" s="30"/>
      <c r="N62" s="3"/>
      <c r="R62" s="68"/>
      <c r="S62" s="156" t="s">
        <v>298</v>
      </c>
      <c r="T62" s="156"/>
      <c r="U62" s="156"/>
      <c r="V62" s="159"/>
      <c r="W62" s="159"/>
      <c r="X62" s="160"/>
      <c r="Y62" s="122"/>
      <c r="Z62" s="122"/>
      <c r="AA62" s="122"/>
      <c r="AB62" s="122"/>
      <c r="AC62" s="18"/>
    </row>
    <row r="63" spans="3:44" s="2" customFormat="1" ht="12" customHeight="1" thickBot="1" x14ac:dyDescent="0.25">
      <c r="C63" s="66" t="s">
        <v>12</v>
      </c>
      <c r="D63" s="67"/>
      <c r="E63" s="79"/>
      <c r="F63" s="72"/>
      <c r="G63" s="93">
        <f ca="1">G62-G19</f>
        <v>-64520</v>
      </c>
      <c r="N63" s="3"/>
      <c r="R63" s="68">
        <v>3</v>
      </c>
      <c r="S63" s="156" t="s">
        <v>299</v>
      </c>
      <c r="T63" s="156"/>
      <c r="U63" s="156"/>
      <c r="V63" s="159"/>
      <c r="W63" s="159"/>
      <c r="X63" s="160"/>
      <c r="Y63" s="157"/>
      <c r="Z63" s="117"/>
      <c r="AA63" s="117"/>
      <c r="AB63" s="117"/>
      <c r="AC63" s="117"/>
    </row>
    <row r="64" spans="3:44" s="2" customFormat="1" ht="12" customHeight="1" x14ac:dyDescent="0.2">
      <c r="N64" s="3"/>
      <c r="R64" s="68"/>
      <c r="S64" s="156" t="s">
        <v>300</v>
      </c>
      <c r="T64" s="156"/>
      <c r="U64" s="156"/>
      <c r="V64" s="159"/>
      <c r="W64" s="159"/>
      <c r="X64" s="160"/>
      <c r="Y64" s="157"/>
      <c r="Z64" s="117"/>
      <c r="AA64" s="117"/>
      <c r="AB64" s="117"/>
      <c r="AC64" s="117"/>
    </row>
    <row r="65" spans="1:32" s="2" customFormat="1" ht="12" customHeight="1" x14ac:dyDescent="0.2">
      <c r="A65" s="269" t="s">
        <v>386</v>
      </c>
      <c r="C65" s="900" t="s">
        <v>863</v>
      </c>
      <c r="D65" s="900"/>
      <c r="E65" s="900"/>
      <c r="F65" s="900"/>
      <c r="G65" s="900"/>
      <c r="H65" s="900"/>
      <c r="I65" s="900"/>
      <c r="J65" s="900"/>
      <c r="K65" s="900"/>
      <c r="L65" s="900"/>
      <c r="M65" s="900"/>
      <c r="N65" s="476"/>
      <c r="R65" s="68"/>
      <c r="S65" s="156" t="s">
        <v>301</v>
      </c>
      <c r="T65" s="156"/>
      <c r="U65" s="156"/>
      <c r="V65" s="159"/>
      <c r="W65" s="159"/>
      <c r="X65" s="160"/>
      <c r="Y65" s="157"/>
      <c r="Z65" s="117"/>
      <c r="AA65" s="117"/>
      <c r="AB65" s="117"/>
      <c r="AC65" s="117"/>
    </row>
    <row r="66" spans="1:32" s="2" customFormat="1" ht="12" customHeight="1" x14ac:dyDescent="0.2">
      <c r="A66" s="269" t="s">
        <v>407</v>
      </c>
      <c r="C66" s="900" t="s">
        <v>880</v>
      </c>
      <c r="D66" s="900"/>
      <c r="E66" s="900"/>
      <c r="F66" s="900"/>
      <c r="G66" s="900"/>
      <c r="H66" s="900"/>
      <c r="I66" s="900"/>
      <c r="J66" s="900"/>
      <c r="K66" s="900"/>
      <c r="L66" s="900"/>
      <c r="M66" s="900"/>
      <c r="N66" s="476"/>
      <c r="R66" s="68"/>
      <c r="S66" s="156" t="s">
        <v>302</v>
      </c>
      <c r="T66" s="156"/>
      <c r="U66" s="156"/>
      <c r="V66" s="159"/>
      <c r="W66" s="159"/>
      <c r="X66" s="160"/>
      <c r="Y66" s="157"/>
      <c r="Z66" s="117"/>
      <c r="AA66" s="117"/>
      <c r="AB66" s="117"/>
      <c r="AC66" s="117"/>
    </row>
    <row r="67" spans="1:32" s="2" customFormat="1" ht="12" customHeight="1" x14ac:dyDescent="0.2">
      <c r="A67" s="269" t="s">
        <v>408</v>
      </c>
      <c r="C67" s="900" t="s">
        <v>881</v>
      </c>
      <c r="D67" s="900"/>
      <c r="E67" s="900"/>
      <c r="F67" s="900"/>
      <c r="G67" s="900"/>
      <c r="H67" s="900"/>
      <c r="I67" s="900"/>
      <c r="J67" s="900"/>
      <c r="K67" s="900"/>
      <c r="L67" s="900"/>
      <c r="M67" s="900"/>
      <c r="N67" s="476"/>
      <c r="R67" s="54"/>
      <c r="S67" s="161"/>
      <c r="T67" s="161"/>
      <c r="U67" s="161"/>
      <c r="V67" s="161"/>
      <c r="W67" s="161"/>
      <c r="X67" s="162"/>
      <c r="Y67" s="159"/>
      <c r="Z67" s="122"/>
      <c r="AA67" s="122"/>
      <c r="AB67" s="122"/>
      <c r="AC67" s="117"/>
    </row>
    <row r="68" spans="1:32" s="2" customFormat="1" ht="12" customHeight="1" x14ac:dyDescent="0.2">
      <c r="A68" s="269" t="s">
        <v>409</v>
      </c>
      <c r="C68" s="900" t="s">
        <v>882</v>
      </c>
      <c r="D68" s="900"/>
      <c r="E68" s="900"/>
      <c r="F68" s="900"/>
      <c r="G68" s="900"/>
      <c r="H68" s="900"/>
      <c r="I68" s="900"/>
      <c r="J68" s="900"/>
      <c r="K68" s="900"/>
      <c r="L68" s="900"/>
      <c r="M68" s="900"/>
      <c r="N68" s="476"/>
      <c r="R68" s="54"/>
      <c r="S68" s="156" t="s">
        <v>303</v>
      </c>
      <c r="T68" s="161"/>
      <c r="U68" s="161"/>
      <c r="V68" s="161"/>
      <c r="W68" s="161"/>
      <c r="X68" s="162"/>
      <c r="Y68" s="159"/>
      <c r="Z68" s="122"/>
      <c r="AA68" s="122"/>
      <c r="AB68" s="122"/>
      <c r="AC68" s="117"/>
    </row>
    <row r="69" spans="1:32" s="2" customFormat="1" ht="12" customHeight="1" thickBot="1" x14ac:dyDescent="0.25">
      <c r="A69" s="269" t="s">
        <v>418</v>
      </c>
      <c r="C69" s="900" t="s">
        <v>883</v>
      </c>
      <c r="D69" s="900"/>
      <c r="E69" s="900"/>
      <c r="F69" s="900"/>
      <c r="G69" s="900"/>
      <c r="H69" s="900"/>
      <c r="I69" s="900"/>
      <c r="J69" s="900"/>
      <c r="K69" s="900"/>
      <c r="L69" s="900"/>
      <c r="M69" s="900"/>
      <c r="N69" s="476"/>
      <c r="R69" s="163"/>
      <c r="S69" s="164" t="s">
        <v>424</v>
      </c>
      <c r="T69" s="165"/>
      <c r="U69" s="165"/>
      <c r="V69" s="165"/>
      <c r="W69" s="165"/>
      <c r="X69" s="166"/>
    </row>
    <row r="70" spans="1:32" s="2" customFormat="1" ht="12" customHeight="1" thickBot="1" x14ac:dyDescent="0.25">
      <c r="A70" s="269" t="s">
        <v>412</v>
      </c>
      <c r="C70" s="900" t="s">
        <v>884</v>
      </c>
      <c r="D70" s="900"/>
      <c r="E70" s="900"/>
      <c r="F70" s="900"/>
      <c r="G70" s="900"/>
      <c r="H70" s="900"/>
      <c r="I70" s="900"/>
      <c r="J70" s="900"/>
      <c r="K70" s="900"/>
      <c r="L70" s="900"/>
      <c r="M70" s="900"/>
      <c r="N70" s="476"/>
      <c r="Y70" s="122"/>
      <c r="Z70" s="122"/>
      <c r="AA70" s="122"/>
      <c r="AB70" s="122"/>
      <c r="AC70" s="122"/>
      <c r="AD70" s="122"/>
      <c r="AE70" s="122"/>
      <c r="AF70" s="122"/>
    </row>
    <row r="71" spans="1:32" s="2" customFormat="1" ht="12" customHeight="1" thickBot="1" x14ac:dyDescent="0.25">
      <c r="A71" s="269" t="s">
        <v>413</v>
      </c>
      <c r="C71" s="900" t="s">
        <v>885</v>
      </c>
      <c r="D71" s="900"/>
      <c r="E71" s="900"/>
      <c r="F71" s="900"/>
      <c r="G71" s="900"/>
      <c r="H71" s="900"/>
      <c r="I71" s="900"/>
      <c r="J71" s="900"/>
      <c r="K71" s="900"/>
      <c r="L71" s="900"/>
      <c r="M71" s="900"/>
      <c r="N71" s="476"/>
      <c r="S71" s="945" t="s">
        <v>102</v>
      </c>
      <c r="T71" s="946"/>
      <c r="U71" s="946"/>
      <c r="V71" s="946"/>
      <c r="W71" s="946"/>
      <c r="X71" s="946"/>
      <c r="Y71" s="947"/>
      <c r="Z71" s="122"/>
      <c r="AA71" s="122"/>
      <c r="AB71" s="122"/>
      <c r="AC71" s="122"/>
      <c r="AD71" s="122"/>
      <c r="AE71" s="122"/>
      <c r="AF71" s="122"/>
    </row>
    <row r="72" spans="1:32" s="2" customFormat="1" ht="12" customHeight="1" thickBot="1" x14ac:dyDescent="0.25">
      <c r="A72" s="269" t="s">
        <v>414</v>
      </c>
      <c r="C72" s="900" t="s">
        <v>886</v>
      </c>
      <c r="D72" s="900"/>
      <c r="E72" s="900"/>
      <c r="F72" s="900"/>
      <c r="G72" s="900"/>
      <c r="H72" s="900"/>
      <c r="I72" s="900"/>
      <c r="J72" s="900"/>
      <c r="K72" s="900"/>
      <c r="L72" s="900"/>
      <c r="M72" s="900"/>
      <c r="N72" s="476"/>
      <c r="S72" s="134" t="s">
        <v>103</v>
      </c>
      <c r="T72" s="135" t="s">
        <v>304</v>
      </c>
      <c r="U72" s="135" t="s">
        <v>305</v>
      </c>
      <c r="V72" s="135" t="s">
        <v>306</v>
      </c>
      <c r="W72" s="135" t="s">
        <v>307</v>
      </c>
      <c r="X72" s="135" t="s">
        <v>308</v>
      </c>
      <c r="Y72" s="136" t="s">
        <v>179</v>
      </c>
      <c r="Z72" s="122"/>
      <c r="AA72" s="122"/>
      <c r="AB72" s="122"/>
      <c r="AC72" s="122"/>
      <c r="AD72" s="122"/>
      <c r="AE72" s="122"/>
      <c r="AF72" s="122"/>
    </row>
    <row r="73" spans="1:32" s="2" customFormat="1" ht="12" customHeight="1" x14ac:dyDescent="0.2">
      <c r="A73" s="269" t="s">
        <v>415</v>
      </c>
      <c r="C73" s="900" t="s">
        <v>887</v>
      </c>
      <c r="D73" s="900"/>
      <c r="E73" s="900"/>
      <c r="F73" s="900"/>
      <c r="G73" s="900"/>
      <c r="H73" s="900"/>
      <c r="I73" s="900"/>
      <c r="J73" s="900"/>
      <c r="K73" s="900"/>
      <c r="L73" s="900"/>
      <c r="M73" s="900"/>
      <c r="N73" s="476"/>
      <c r="S73" s="137" t="s">
        <v>104</v>
      </c>
      <c r="T73" s="138">
        <v>900</v>
      </c>
      <c r="U73" s="138">
        <v>150</v>
      </c>
      <c r="V73" s="138">
        <v>100</v>
      </c>
      <c r="W73" s="138">
        <v>0</v>
      </c>
      <c r="X73" s="138">
        <v>0</v>
      </c>
      <c r="Y73" s="139">
        <f>SUM(T73:X73)</f>
        <v>1150</v>
      </c>
      <c r="Z73" s="122"/>
      <c r="AA73" s="122"/>
      <c r="AB73" s="122"/>
      <c r="AC73" s="122"/>
      <c r="AD73" s="122"/>
      <c r="AE73" s="122"/>
      <c r="AF73" s="122"/>
    </row>
    <row r="74" spans="1:32" s="2" customFormat="1" ht="12" customHeight="1" x14ac:dyDescent="0.2">
      <c r="A74" s="269" t="s">
        <v>416</v>
      </c>
      <c r="C74" s="900" t="s">
        <v>888</v>
      </c>
      <c r="D74" s="900"/>
      <c r="E74" s="900"/>
      <c r="F74" s="900"/>
      <c r="G74" s="900"/>
      <c r="H74" s="900"/>
      <c r="I74" s="900"/>
      <c r="J74" s="900"/>
      <c r="K74" s="900"/>
      <c r="L74" s="900"/>
      <c r="M74" s="900"/>
      <c r="N74" s="476"/>
      <c r="S74" s="140" t="s">
        <v>105</v>
      </c>
      <c r="T74" s="141">
        <v>900</v>
      </c>
      <c r="U74" s="141">
        <v>150</v>
      </c>
      <c r="V74" s="141">
        <v>100</v>
      </c>
      <c r="W74" s="141">
        <v>0</v>
      </c>
      <c r="X74" s="141">
        <v>600</v>
      </c>
      <c r="Y74" s="139">
        <f t="shared" ref="Y74:Y78" si="9">SUM(T74:X74)</f>
        <v>1750</v>
      </c>
      <c r="Z74" s="122"/>
      <c r="AA74" s="122"/>
      <c r="AB74" s="122"/>
      <c r="AC74" s="122"/>
      <c r="AD74" s="122"/>
      <c r="AE74" s="122"/>
      <c r="AF74" s="122"/>
    </row>
    <row r="75" spans="1:32" s="2" customFormat="1" ht="12" customHeight="1" x14ac:dyDescent="0.2">
      <c r="A75" s="269" t="s">
        <v>417</v>
      </c>
      <c r="C75" s="900" t="s">
        <v>889</v>
      </c>
      <c r="D75" s="900"/>
      <c r="E75" s="900"/>
      <c r="F75" s="900"/>
      <c r="G75" s="900"/>
      <c r="H75" s="900"/>
      <c r="I75" s="900"/>
      <c r="J75" s="900"/>
      <c r="K75" s="900"/>
      <c r="L75" s="900"/>
      <c r="M75" s="900"/>
      <c r="N75" s="476"/>
      <c r="S75" s="140" t="s">
        <v>106</v>
      </c>
      <c r="T75" s="141">
        <v>900</v>
      </c>
      <c r="U75" s="141">
        <v>300</v>
      </c>
      <c r="V75" s="141">
        <v>200</v>
      </c>
      <c r="W75" s="141">
        <v>900</v>
      </c>
      <c r="X75" s="141">
        <v>0</v>
      </c>
      <c r="Y75" s="139">
        <f t="shared" si="9"/>
        <v>2300</v>
      </c>
      <c r="Z75" s="122"/>
      <c r="AA75" s="122"/>
      <c r="AB75" s="122"/>
      <c r="AC75" s="122"/>
      <c r="AD75" s="122"/>
      <c r="AE75" s="122"/>
      <c r="AF75" s="122"/>
    </row>
    <row r="76" spans="1:32" s="2" customFormat="1" ht="12" customHeight="1" x14ac:dyDescent="0.2">
      <c r="A76" s="269" t="s">
        <v>419</v>
      </c>
      <c r="C76" s="900" t="s">
        <v>421</v>
      </c>
      <c r="D76" s="900"/>
      <c r="E76" s="900"/>
      <c r="F76" s="900"/>
      <c r="G76" s="900"/>
      <c r="H76" s="900"/>
      <c r="I76" s="900"/>
      <c r="J76" s="900"/>
      <c r="K76" s="900"/>
      <c r="L76" s="900"/>
      <c r="M76" s="900"/>
      <c r="N76" s="476"/>
      <c r="S76" s="140" t="s">
        <v>107</v>
      </c>
      <c r="T76" s="141">
        <v>1800</v>
      </c>
      <c r="U76" s="141">
        <v>300</v>
      </c>
      <c r="V76" s="141">
        <v>100</v>
      </c>
      <c r="W76" s="141">
        <v>900</v>
      </c>
      <c r="X76" s="141">
        <v>0</v>
      </c>
      <c r="Y76" s="139">
        <f t="shared" si="9"/>
        <v>3100</v>
      </c>
      <c r="Z76" s="122"/>
      <c r="AA76" s="122"/>
      <c r="AB76" s="122"/>
      <c r="AC76" s="122"/>
      <c r="AD76" s="122"/>
      <c r="AE76" s="122"/>
      <c r="AF76" s="122"/>
    </row>
    <row r="77" spans="1:32" s="2" customFormat="1" ht="12" customHeight="1" x14ac:dyDescent="0.2">
      <c r="A77" s="269" t="s">
        <v>420</v>
      </c>
      <c r="B77" s="1"/>
      <c r="C77" s="900" t="s">
        <v>426</v>
      </c>
      <c r="D77" s="900"/>
      <c r="E77" s="900"/>
      <c r="F77" s="900"/>
      <c r="G77" s="900"/>
      <c r="H77" s="900"/>
      <c r="I77" s="900"/>
      <c r="J77" s="900"/>
      <c r="K77" s="900"/>
      <c r="L77" s="900"/>
      <c r="M77" s="900"/>
      <c r="N77" s="476"/>
      <c r="S77" s="140" t="s">
        <v>108</v>
      </c>
      <c r="T77" s="141">
        <v>2700</v>
      </c>
      <c r="U77" s="141">
        <v>300</v>
      </c>
      <c r="V77" s="141">
        <v>100</v>
      </c>
      <c r="W77" s="141">
        <v>1800</v>
      </c>
      <c r="X77" s="141">
        <v>0</v>
      </c>
      <c r="Y77" s="139">
        <f t="shared" si="9"/>
        <v>4900</v>
      </c>
      <c r="Z77" s="122"/>
      <c r="AA77" s="122"/>
      <c r="AB77" s="122"/>
      <c r="AC77" s="122"/>
      <c r="AD77" s="122"/>
      <c r="AE77" s="122"/>
      <c r="AF77" s="122"/>
    </row>
    <row r="78" spans="1:32" s="2" customFormat="1" ht="12" customHeight="1" thickBot="1" x14ac:dyDescent="0.25">
      <c r="A78" s="1"/>
      <c r="B78" s="1"/>
      <c r="C78" s="46"/>
      <c r="D78" s="46"/>
      <c r="E78" s="46"/>
      <c r="F78" s="46"/>
      <c r="G78" s="46"/>
      <c r="H78" s="46"/>
      <c r="I78" s="46"/>
      <c r="J78" s="46"/>
      <c r="K78" s="46"/>
      <c r="L78" s="46"/>
      <c r="M78" s="46"/>
      <c r="N78" s="548"/>
      <c r="P78" s="1"/>
      <c r="Q78" s="1"/>
      <c r="S78" s="142" t="s">
        <v>109</v>
      </c>
      <c r="T78" s="143">
        <v>2700</v>
      </c>
      <c r="U78" s="143">
        <v>450</v>
      </c>
      <c r="V78" s="143">
        <v>200</v>
      </c>
      <c r="W78" s="143">
        <v>2700</v>
      </c>
      <c r="X78" s="143">
        <v>600</v>
      </c>
      <c r="Y78" s="139">
        <f t="shared" si="9"/>
        <v>6650</v>
      </c>
      <c r="Z78" s="122"/>
      <c r="AA78" s="122"/>
      <c r="AB78" s="122"/>
      <c r="AC78" s="122"/>
      <c r="AD78" s="122"/>
      <c r="AE78" s="122"/>
      <c r="AF78" s="122"/>
    </row>
    <row r="79" spans="1:32" s="2" customFormat="1" ht="12" customHeight="1" thickBot="1" x14ac:dyDescent="0.25">
      <c r="N79" s="3"/>
      <c r="S79" s="948" t="s">
        <v>110</v>
      </c>
      <c r="T79" s="949"/>
      <c r="U79" s="949"/>
      <c r="V79" s="949"/>
      <c r="W79" s="949"/>
      <c r="X79" s="949"/>
      <c r="Y79" s="950"/>
      <c r="Z79" s="122"/>
      <c r="AA79" s="122"/>
      <c r="AB79" s="122"/>
      <c r="AC79" s="122"/>
      <c r="AD79" s="122"/>
      <c r="AE79" s="122"/>
      <c r="AF79" s="122"/>
    </row>
    <row r="80" spans="1:32" s="2" customFormat="1" ht="12" customHeight="1" x14ac:dyDescent="0.2">
      <c r="N80" s="3"/>
      <c r="Y80" s="122"/>
      <c r="Z80" s="122"/>
      <c r="AA80" s="122"/>
      <c r="AB80" s="122"/>
      <c r="AC80" s="122"/>
      <c r="AD80" s="122"/>
      <c r="AE80" s="122"/>
      <c r="AF80" s="122"/>
    </row>
    <row r="81" spans="1:32" s="2" customFormat="1" ht="12" customHeight="1" x14ac:dyDescent="0.2">
      <c r="N81" s="3"/>
      <c r="Y81" s="122"/>
      <c r="Z81" s="122"/>
      <c r="AA81" s="122"/>
      <c r="AB81" s="122"/>
      <c r="AC81" s="122"/>
      <c r="AD81" s="122"/>
      <c r="AE81" s="122"/>
      <c r="AF81" s="122"/>
    </row>
    <row r="82" spans="1:32" s="2" customFormat="1" ht="12" customHeight="1" thickBot="1" x14ac:dyDescent="0.25">
      <c r="N82" s="3"/>
    </row>
    <row r="83" spans="1:32" s="2" customFormat="1" ht="12" customHeight="1" x14ac:dyDescent="0.2">
      <c r="N83" s="3"/>
      <c r="R83" s="951" t="s">
        <v>309</v>
      </c>
      <c r="S83" s="951"/>
      <c r="T83" s="951"/>
      <c r="U83" s="951"/>
      <c r="V83" s="951"/>
    </row>
    <row r="84" spans="1:32" s="2" customFormat="1" ht="12" customHeight="1" thickBot="1" x14ac:dyDescent="0.25">
      <c r="N84" s="3"/>
      <c r="R84" s="891"/>
      <c r="S84" s="891"/>
      <c r="T84" s="891"/>
      <c r="U84" s="891"/>
      <c r="V84" s="891"/>
      <c r="W84" s="122"/>
      <c r="X84" s="122"/>
      <c r="Y84" s="122"/>
      <c r="Z84" s="122"/>
      <c r="AA84" s="122"/>
      <c r="AB84" s="122"/>
      <c r="AC84" s="18"/>
    </row>
    <row r="85" spans="1:32" s="2" customFormat="1" ht="12" customHeight="1" x14ac:dyDescent="0.2">
      <c r="N85" s="3"/>
      <c r="R85" s="95"/>
      <c r="S85" s="96"/>
      <c r="T85" s="952" t="s">
        <v>33</v>
      </c>
      <c r="U85" s="953"/>
      <c r="V85" s="954"/>
      <c r="W85" s="122"/>
      <c r="X85" s="122"/>
      <c r="Y85" s="122"/>
      <c r="Z85" s="122"/>
      <c r="AA85" s="122"/>
      <c r="AB85" s="122"/>
      <c r="AC85" s="18"/>
    </row>
    <row r="86" spans="1:32" ht="12" customHeight="1" thickBot="1" x14ac:dyDescent="0.25">
      <c r="R86" s="98" t="s">
        <v>121</v>
      </c>
      <c r="S86" s="99"/>
      <c r="T86" s="100" t="s">
        <v>122</v>
      </c>
      <c r="U86" s="100" t="s">
        <v>38</v>
      </c>
      <c r="V86" s="99" t="s">
        <v>123</v>
      </c>
      <c r="W86" s="122"/>
      <c r="X86" s="122"/>
      <c r="Y86" s="122"/>
      <c r="Z86" s="122"/>
      <c r="AA86" s="122"/>
      <c r="AB86" s="122"/>
      <c r="AC86" s="18"/>
    </row>
    <row r="87" spans="1:32" ht="12" customHeight="1" x14ac:dyDescent="0.2">
      <c r="R87" s="101" t="s">
        <v>310</v>
      </c>
      <c r="S87" s="22" t="s">
        <v>311</v>
      </c>
      <c r="T87" s="106">
        <v>1</v>
      </c>
      <c r="U87" s="230">
        <f>IF($G$15=0,0,($G$15*0.1)*30)</f>
        <v>1650</v>
      </c>
      <c r="V87" s="104">
        <f>T87*U87</f>
        <v>1650</v>
      </c>
      <c r="W87" s="168" t="s">
        <v>41</v>
      </c>
      <c r="X87" s="122"/>
      <c r="Y87" s="122"/>
      <c r="Z87" s="122"/>
      <c r="AA87" s="122"/>
      <c r="AB87" s="122"/>
    </row>
    <row r="88" spans="1:32" ht="12" customHeight="1" x14ac:dyDescent="0.2">
      <c r="R88" s="101" t="s">
        <v>312</v>
      </c>
      <c r="S88" s="22" t="s">
        <v>313</v>
      </c>
      <c r="T88" s="106">
        <v>1</v>
      </c>
      <c r="U88" s="230">
        <f>IF($G$15&lt;=400,U110,(IF($G$15&lt;=550,U111,(IF($G$15&lt;=700,U112,(IF($G$15&lt;=1000,U113,(IF($G$15&lt;=1500,U114,(IF($G$15&gt;1500,U115)))))))))))</f>
        <v>120</v>
      </c>
      <c r="V88" s="104">
        <f>T88*U88</f>
        <v>120</v>
      </c>
      <c r="W88" s="168"/>
      <c r="X88" s="122"/>
      <c r="Y88" s="122"/>
      <c r="Z88" s="122"/>
      <c r="AA88" s="122"/>
      <c r="AB88" s="122"/>
    </row>
    <row r="89" spans="1:32" ht="12" customHeight="1" x14ac:dyDescent="0.2">
      <c r="R89" s="105" t="s">
        <v>318</v>
      </c>
      <c r="S89" s="22" t="s">
        <v>133</v>
      </c>
      <c r="T89" s="106">
        <v>1</v>
      </c>
      <c r="U89" s="300">
        <f>IF($G$15&lt;=400,X110,(IF($G$15&lt;=550,X111,(IF($G$15&lt;=700,X112,(IF($G$15&lt;=1000,X113,(IF($G$15&lt;=1500,X114,(IF($G$15&gt;1500,X115)))))))))))</f>
        <v>200</v>
      </c>
      <c r="V89" s="112">
        <f>T89*U89</f>
        <v>200</v>
      </c>
      <c r="W89" s="122"/>
      <c r="X89" s="122"/>
      <c r="Y89" s="122"/>
      <c r="Z89" s="122"/>
      <c r="AA89" s="122"/>
      <c r="AB89" s="122"/>
      <c r="AC89" s="18"/>
    </row>
    <row r="90" spans="1:32" ht="12" customHeight="1" x14ac:dyDescent="0.2">
      <c r="R90" s="101"/>
      <c r="S90" s="22"/>
      <c r="T90" s="80"/>
      <c r="U90" s="80" t="s">
        <v>319</v>
      </c>
      <c r="V90" s="73"/>
      <c r="W90" s="122"/>
      <c r="X90" s="122"/>
      <c r="Y90" s="122"/>
      <c r="Z90" s="122"/>
      <c r="AA90" s="122"/>
      <c r="AB90" s="122"/>
      <c r="AC90" s="18"/>
    </row>
    <row r="91" spans="1:32" ht="12" customHeight="1" thickBot="1" x14ac:dyDescent="0.25">
      <c r="R91" s="113" t="s">
        <v>320</v>
      </c>
      <c r="S91" s="114"/>
      <c r="T91" s="148"/>
      <c r="U91" s="148"/>
      <c r="V91" s="116">
        <f>SUM(V87:V89)</f>
        <v>1970</v>
      </c>
      <c r="W91" s="122"/>
      <c r="X91" s="122"/>
      <c r="Y91" s="122"/>
      <c r="Z91" s="122"/>
      <c r="AA91" s="122"/>
      <c r="AB91" s="122"/>
      <c r="AC91" s="18"/>
    </row>
    <row r="92" spans="1:32" ht="12" customHeight="1" thickTop="1" thickBot="1" x14ac:dyDescent="0.25">
      <c r="A92" s="2"/>
      <c r="B92" s="2"/>
      <c r="C92" s="2"/>
      <c r="D92" s="2"/>
      <c r="E92" s="2"/>
      <c r="F92" s="2"/>
      <c r="G92" s="2"/>
      <c r="H92" s="7"/>
      <c r="I92" s="7"/>
      <c r="J92" s="7"/>
      <c r="K92" s="7"/>
      <c r="L92" s="7"/>
      <c r="M92" s="7"/>
      <c r="N92" s="39"/>
      <c r="R92" s="18"/>
      <c r="S92" s="32"/>
      <c r="T92" s="32"/>
      <c r="U92" s="32"/>
      <c r="V92" s="122"/>
      <c r="W92" s="122"/>
      <c r="X92" s="122"/>
      <c r="Y92" s="122"/>
      <c r="Z92" s="122"/>
      <c r="AA92" s="122"/>
      <c r="AB92" s="122"/>
      <c r="AC92" s="18"/>
    </row>
    <row r="93" spans="1:32" ht="12" customHeight="1" thickBot="1" x14ac:dyDescent="0.25">
      <c r="A93" s="55" t="s">
        <v>34</v>
      </c>
      <c r="B93" s="55"/>
      <c r="C93" s="55"/>
      <c r="D93" s="13"/>
      <c r="E93" s="56"/>
      <c r="F93" s="13"/>
      <c r="G93" s="57"/>
      <c r="H93" s="15"/>
      <c r="I93" s="15"/>
      <c r="J93" s="2"/>
      <c r="K93" s="2"/>
      <c r="L93" s="2"/>
      <c r="M93" s="869">
        <f>CurrentYear</f>
        <v>2013</v>
      </c>
      <c r="N93" s="549"/>
      <c r="R93" s="945" t="s">
        <v>321</v>
      </c>
      <c r="S93" s="946"/>
      <c r="T93" s="946"/>
      <c r="U93" s="946"/>
      <c r="V93" s="946"/>
      <c r="W93" s="946"/>
      <c r="X93" s="947"/>
      <c r="Y93" s="122"/>
      <c r="Z93" s="122"/>
      <c r="AA93" s="122"/>
      <c r="AB93" s="122"/>
      <c r="AC93" s="18"/>
    </row>
    <row r="94" spans="1:32" ht="12" customHeight="1" thickBot="1" x14ac:dyDescent="0.25">
      <c r="A94" s="58" t="s">
        <v>35</v>
      </c>
      <c r="B94" s="2"/>
      <c r="C94" s="2"/>
      <c r="D94" s="2"/>
      <c r="E94" s="2"/>
      <c r="F94" s="819" t="s">
        <v>437</v>
      </c>
      <c r="G94" s="820"/>
      <c r="H94" s="15"/>
      <c r="I94" s="15"/>
      <c r="J94" s="15"/>
      <c r="K94" s="2"/>
      <c r="L94" s="2"/>
      <c r="M94" s="255"/>
      <c r="N94" s="550"/>
      <c r="R94" s="149" t="s">
        <v>23</v>
      </c>
      <c r="S94" s="150" t="s">
        <v>24</v>
      </c>
      <c r="T94" s="151"/>
      <c r="U94" s="151"/>
      <c r="V94" s="151"/>
      <c r="W94" s="151"/>
      <c r="X94" s="152"/>
      <c r="Y94" s="122"/>
      <c r="Z94" s="122"/>
      <c r="AA94" s="122"/>
      <c r="AB94" s="122"/>
      <c r="AC94" s="18"/>
    </row>
    <row r="95" spans="1:32" ht="12" customHeight="1" x14ac:dyDescent="0.2">
      <c r="R95" s="68">
        <v>1</v>
      </c>
      <c r="S95" s="153" t="s">
        <v>322</v>
      </c>
      <c r="T95" s="154"/>
      <c r="U95" s="154"/>
      <c r="V95" s="154"/>
      <c r="W95" s="154"/>
      <c r="X95" s="155"/>
      <c r="Y95" s="122"/>
      <c r="Z95" s="122"/>
      <c r="AA95" s="122"/>
      <c r="AB95" s="122"/>
      <c r="AC95" s="18"/>
    </row>
    <row r="96" spans="1:32" ht="12" customHeight="1" thickBot="1" x14ac:dyDescent="0.25">
      <c r="R96" s="71"/>
      <c r="S96" s="164" t="s">
        <v>323</v>
      </c>
      <c r="T96" s="170"/>
      <c r="U96" s="170"/>
      <c r="V96" s="170"/>
      <c r="W96" s="170"/>
      <c r="X96" s="171"/>
      <c r="Y96" s="18"/>
      <c r="Z96" s="18"/>
      <c r="AA96" s="18"/>
      <c r="AB96" s="18"/>
      <c r="AC96" s="18"/>
    </row>
    <row r="97" spans="18:29" ht="12" customHeight="1" thickBot="1" x14ac:dyDescent="0.25">
      <c r="R97" s="18"/>
      <c r="S97" s="18"/>
      <c r="T97" s="18"/>
      <c r="U97" s="18"/>
      <c r="V97" s="18"/>
      <c r="W97" s="18"/>
      <c r="X97" s="18"/>
      <c r="Y97" s="18"/>
      <c r="Z97" s="18"/>
      <c r="AA97" s="18"/>
      <c r="AB97" s="18"/>
      <c r="AC97" s="18"/>
    </row>
    <row r="98" spans="18:29" ht="12" customHeight="1" thickBot="1" x14ac:dyDescent="0.25">
      <c r="R98" s="18"/>
      <c r="S98" s="945" t="s">
        <v>102</v>
      </c>
      <c r="T98" s="947"/>
      <c r="U98" s="172"/>
      <c r="V98" s="172"/>
      <c r="W98" s="172"/>
      <c r="X98" s="172"/>
      <c r="Y98" s="172"/>
      <c r="Z98" s="18"/>
      <c r="AA98" s="18"/>
      <c r="AB98" s="18"/>
      <c r="AC98" s="18"/>
    </row>
    <row r="99" spans="18:29" ht="12" customHeight="1" thickBot="1" x14ac:dyDescent="0.25">
      <c r="R99" s="18"/>
      <c r="S99" s="173" t="s">
        <v>103</v>
      </c>
      <c r="T99" s="174" t="s">
        <v>329</v>
      </c>
      <c r="U99" s="175"/>
      <c r="V99" s="175"/>
      <c r="W99" s="175"/>
      <c r="X99" s="175"/>
      <c r="Y99" s="175"/>
      <c r="Z99" s="18"/>
      <c r="AA99" s="18"/>
      <c r="AB99" s="18"/>
      <c r="AC99" s="18"/>
    </row>
    <row r="100" spans="18:29" ht="12" customHeight="1" x14ac:dyDescent="0.2">
      <c r="R100" s="117"/>
      <c r="S100" s="176" t="s">
        <v>104</v>
      </c>
      <c r="T100" s="177">
        <v>190</v>
      </c>
      <c r="U100" s="178"/>
      <c r="V100" s="178"/>
      <c r="W100" s="178"/>
      <c r="X100" s="178"/>
      <c r="Y100" s="178"/>
      <c r="Z100" s="117"/>
      <c r="AA100" s="117"/>
      <c r="AB100" s="117"/>
      <c r="AC100" s="117"/>
    </row>
    <row r="101" spans="18:29" ht="12" customHeight="1" x14ac:dyDescent="0.2">
      <c r="R101" s="117"/>
      <c r="S101" s="179" t="s">
        <v>105</v>
      </c>
      <c r="T101" s="180">
        <v>250</v>
      </c>
      <c r="U101" s="178"/>
      <c r="V101" s="178"/>
      <c r="W101" s="178"/>
      <c r="X101" s="178"/>
      <c r="Y101" s="178"/>
      <c r="Z101" s="122"/>
      <c r="AA101" s="122"/>
      <c r="AB101" s="122"/>
      <c r="AC101" s="117"/>
    </row>
    <row r="102" spans="18:29" ht="12" customHeight="1" x14ac:dyDescent="0.2">
      <c r="R102" s="117"/>
      <c r="S102" s="179" t="s">
        <v>106</v>
      </c>
      <c r="T102" s="180">
        <v>340</v>
      </c>
      <c r="U102" s="178"/>
      <c r="V102" s="178"/>
      <c r="W102" s="178"/>
      <c r="X102" s="178"/>
      <c r="Y102" s="178"/>
      <c r="Z102" s="122"/>
      <c r="AA102" s="122"/>
      <c r="AB102" s="122"/>
      <c r="AC102" s="117"/>
    </row>
    <row r="103" spans="18:29" ht="12" customHeight="1" x14ac:dyDescent="0.2">
      <c r="R103" s="117"/>
      <c r="S103" s="179" t="s">
        <v>107</v>
      </c>
      <c r="T103" s="180">
        <v>350</v>
      </c>
      <c r="U103" s="178"/>
      <c r="V103" s="178"/>
      <c r="W103" s="178"/>
      <c r="X103" s="178"/>
      <c r="Y103" s="178"/>
      <c r="Z103" s="122"/>
      <c r="AA103" s="122"/>
      <c r="AB103" s="122"/>
      <c r="AC103" s="117"/>
    </row>
    <row r="104" spans="18:29" ht="12" customHeight="1" x14ac:dyDescent="0.2">
      <c r="R104" s="117"/>
      <c r="S104" s="179" t="s">
        <v>108</v>
      </c>
      <c r="T104" s="180">
        <v>400</v>
      </c>
      <c r="U104" s="178"/>
      <c r="V104" s="178"/>
      <c r="W104" s="178"/>
      <c r="X104" s="178"/>
      <c r="Y104" s="178"/>
      <c r="Z104" s="122"/>
      <c r="AA104" s="122"/>
      <c r="AB104" s="122"/>
      <c r="AC104" s="117"/>
    </row>
    <row r="105" spans="18:29" ht="12" customHeight="1" thickBot="1" x14ac:dyDescent="0.25">
      <c r="R105" s="117"/>
      <c r="S105" s="176" t="s">
        <v>109</v>
      </c>
      <c r="T105" s="181">
        <v>400</v>
      </c>
      <c r="U105" s="178"/>
      <c r="V105" s="178"/>
      <c r="W105" s="178"/>
      <c r="X105" s="178"/>
      <c r="Y105" s="178"/>
      <c r="Z105" s="122"/>
      <c r="AA105" s="122"/>
      <c r="AB105" s="122"/>
      <c r="AC105" s="117"/>
    </row>
    <row r="106" spans="18:29" ht="12" customHeight="1" thickBot="1" x14ac:dyDescent="0.25">
      <c r="R106" s="117"/>
      <c r="S106" s="948" t="s">
        <v>110</v>
      </c>
      <c r="T106" s="950"/>
      <c r="U106" s="178"/>
      <c r="V106" s="178"/>
      <c r="W106" s="178"/>
      <c r="X106" s="178"/>
      <c r="Y106" s="178"/>
      <c r="Z106" s="122"/>
      <c r="AA106" s="122"/>
      <c r="AB106" s="122"/>
      <c r="AC106" s="117"/>
    </row>
    <row r="107" spans="18:29" ht="12" customHeight="1" thickBot="1" x14ac:dyDescent="0.25">
      <c r="R107" s="117"/>
      <c r="U107" s="32"/>
      <c r="V107" s="122"/>
      <c r="W107" s="122"/>
      <c r="X107" s="122"/>
      <c r="Y107" s="122"/>
      <c r="Z107" s="122"/>
      <c r="AA107" s="122"/>
      <c r="AB107" s="122"/>
      <c r="AC107" s="117"/>
    </row>
    <row r="108" spans="18:29" ht="12" customHeight="1" thickBot="1" x14ac:dyDescent="0.25">
      <c r="S108" s="945" t="s">
        <v>102</v>
      </c>
      <c r="T108" s="946"/>
      <c r="U108" s="946"/>
      <c r="V108" s="946"/>
      <c r="W108" s="946"/>
      <c r="X108" s="946"/>
      <c r="Y108" s="947"/>
    </row>
    <row r="109" spans="18:29" ht="12" customHeight="1" thickBot="1" x14ac:dyDescent="0.25">
      <c r="S109" s="134" t="s">
        <v>103</v>
      </c>
      <c r="T109" s="135" t="s">
        <v>324</v>
      </c>
      <c r="U109" s="135" t="s">
        <v>325</v>
      </c>
      <c r="V109" s="135" t="s">
        <v>326</v>
      </c>
      <c r="W109" s="135" t="s">
        <v>327</v>
      </c>
      <c r="X109" s="135" t="s">
        <v>328</v>
      </c>
      <c r="Y109" s="136" t="s">
        <v>179</v>
      </c>
    </row>
    <row r="110" spans="18:29" ht="12" customHeight="1" x14ac:dyDescent="0.2">
      <c r="S110" s="137" t="s">
        <v>104</v>
      </c>
      <c r="T110" s="138">
        <v>1200</v>
      </c>
      <c r="U110" s="138">
        <v>120</v>
      </c>
      <c r="V110" s="138">
        <v>190</v>
      </c>
      <c r="W110" s="138">
        <v>300</v>
      </c>
      <c r="X110" s="138">
        <v>0</v>
      </c>
      <c r="Y110" s="139">
        <f>SUM(T110:X110)</f>
        <v>1810</v>
      </c>
    </row>
    <row r="111" spans="18:29" ht="12" customHeight="1" x14ac:dyDescent="0.2">
      <c r="S111" s="140" t="s">
        <v>105</v>
      </c>
      <c r="T111" s="141">
        <v>1650</v>
      </c>
      <c r="U111" s="141">
        <v>120</v>
      </c>
      <c r="V111" s="141">
        <v>250</v>
      </c>
      <c r="W111" s="141">
        <v>300</v>
      </c>
      <c r="X111" s="141">
        <v>200</v>
      </c>
      <c r="Y111" s="139">
        <f t="shared" ref="Y111:Y115" si="10">SUM(T111:X111)</f>
        <v>2520</v>
      </c>
    </row>
    <row r="112" spans="18:29" ht="12" customHeight="1" x14ac:dyDescent="0.2">
      <c r="S112" s="140" t="s">
        <v>106</v>
      </c>
      <c r="T112" s="141">
        <v>2100</v>
      </c>
      <c r="U112" s="141">
        <v>120</v>
      </c>
      <c r="V112" s="141">
        <v>340</v>
      </c>
      <c r="W112" s="141">
        <v>300</v>
      </c>
      <c r="X112" s="141">
        <v>400</v>
      </c>
      <c r="Y112" s="139">
        <f t="shared" si="10"/>
        <v>3260</v>
      </c>
    </row>
    <row r="113" spans="18:29" ht="12" customHeight="1" x14ac:dyDescent="0.2">
      <c r="S113" s="140" t="s">
        <v>107</v>
      </c>
      <c r="T113" s="141">
        <v>3000</v>
      </c>
      <c r="U113" s="141">
        <v>120</v>
      </c>
      <c r="V113" s="141">
        <v>350</v>
      </c>
      <c r="W113" s="141">
        <v>300</v>
      </c>
      <c r="X113" s="141">
        <v>200</v>
      </c>
      <c r="Y113" s="139">
        <f t="shared" si="10"/>
        <v>3970</v>
      </c>
    </row>
    <row r="114" spans="18:29" ht="12" customHeight="1" x14ac:dyDescent="0.2">
      <c r="S114" s="140" t="s">
        <v>108</v>
      </c>
      <c r="T114" s="141">
        <v>4500</v>
      </c>
      <c r="U114" s="141">
        <v>120</v>
      </c>
      <c r="V114" s="141">
        <v>400</v>
      </c>
      <c r="W114" s="141">
        <v>300</v>
      </c>
      <c r="X114" s="141">
        <v>400</v>
      </c>
      <c r="Y114" s="139">
        <f t="shared" si="10"/>
        <v>5720</v>
      </c>
    </row>
    <row r="115" spans="18:29" ht="12" customHeight="1" thickBot="1" x14ac:dyDescent="0.25">
      <c r="S115" s="142" t="s">
        <v>109</v>
      </c>
      <c r="T115" s="143">
        <v>6000</v>
      </c>
      <c r="U115" s="143">
        <v>120</v>
      </c>
      <c r="V115" s="143">
        <v>400</v>
      </c>
      <c r="W115" s="143">
        <v>300</v>
      </c>
      <c r="X115" s="143">
        <v>400</v>
      </c>
      <c r="Y115" s="139">
        <f t="shared" si="10"/>
        <v>7220</v>
      </c>
    </row>
    <row r="116" spans="18:29" ht="12" customHeight="1" thickBot="1" x14ac:dyDescent="0.25">
      <c r="S116" s="948" t="s">
        <v>110</v>
      </c>
      <c r="T116" s="949"/>
      <c r="U116" s="949"/>
      <c r="V116" s="949"/>
      <c r="W116" s="949"/>
      <c r="X116" s="949"/>
      <c r="Y116" s="950"/>
    </row>
    <row r="117" spans="18:29" ht="12" customHeight="1" x14ac:dyDescent="0.2"/>
    <row r="118" spans="18:29" ht="12" customHeight="1" thickBot="1" x14ac:dyDescent="0.25"/>
    <row r="119" spans="18:29" ht="12" customHeight="1" x14ac:dyDescent="0.2">
      <c r="R119" s="887" t="s">
        <v>330</v>
      </c>
      <c r="S119" s="888"/>
      <c r="T119" s="888"/>
      <c r="U119" s="888"/>
      <c r="V119" s="889"/>
    </row>
    <row r="120" spans="18:29" ht="12" customHeight="1" thickBot="1" x14ac:dyDescent="0.25">
      <c r="R120" s="890"/>
      <c r="S120" s="891"/>
      <c r="T120" s="891"/>
      <c r="U120" s="891"/>
      <c r="V120" s="892"/>
      <c r="W120" s="122"/>
      <c r="X120" s="122"/>
      <c r="Y120" s="122"/>
      <c r="Z120" s="122"/>
      <c r="AA120" s="122"/>
      <c r="AB120" s="122"/>
    </row>
    <row r="121" spans="18:29" ht="12" customHeight="1" x14ac:dyDescent="0.2">
      <c r="R121" s="310"/>
      <c r="S121" s="96"/>
      <c r="T121" s="473" t="s">
        <v>33</v>
      </c>
      <c r="U121" s="474"/>
      <c r="V121" s="311"/>
      <c r="W121" s="122"/>
      <c r="X121" s="122"/>
      <c r="Y121" s="122"/>
      <c r="Z121" s="122"/>
      <c r="AA121" s="122"/>
      <c r="AB121" s="122"/>
      <c r="AC121" s="18"/>
    </row>
    <row r="122" spans="18:29" ht="12" customHeight="1" thickBot="1" x14ac:dyDescent="0.25">
      <c r="R122" s="312" t="s">
        <v>121</v>
      </c>
      <c r="S122" s="99"/>
      <c r="T122" s="100" t="s">
        <v>122</v>
      </c>
      <c r="U122" s="100" t="s">
        <v>38</v>
      </c>
      <c r="V122" s="313" t="s">
        <v>123</v>
      </c>
      <c r="W122" s="122"/>
      <c r="X122" s="122"/>
      <c r="Y122" s="122"/>
      <c r="Z122" s="122"/>
      <c r="AA122" s="122"/>
      <c r="AB122" s="122"/>
      <c r="AC122" s="18"/>
    </row>
    <row r="123" spans="18:29" ht="12" customHeight="1" x14ac:dyDescent="0.2">
      <c r="R123" s="317" t="s">
        <v>331</v>
      </c>
      <c r="S123" s="22" t="s">
        <v>332</v>
      </c>
      <c r="T123" s="106">
        <v>1</v>
      </c>
      <c r="U123" s="230">
        <f>IF($G$15&lt;=400,T141,(IF($G$15&lt;=550,T142,(IF($G$15&lt;=700,T143,(IF($G$15&lt;=1000,T144,(IF($G$15&lt;=1500,T145,(IF($G$15&gt;1500,T146)))))))))))</f>
        <v>1200</v>
      </c>
      <c r="V123" s="315">
        <f>T123*U123</f>
        <v>1200</v>
      </c>
      <c r="W123" s="122"/>
      <c r="X123" s="122"/>
      <c r="Y123" s="122"/>
      <c r="Z123" s="122"/>
      <c r="AA123" s="122"/>
      <c r="AB123" s="122"/>
      <c r="AC123" s="18"/>
    </row>
    <row r="124" spans="18:29" ht="12" customHeight="1" x14ac:dyDescent="0.2">
      <c r="R124" s="317" t="s">
        <v>333</v>
      </c>
      <c r="S124" s="22" t="s">
        <v>334</v>
      </c>
      <c r="T124" s="106">
        <v>1</v>
      </c>
      <c r="U124" s="230">
        <f>IF($G$15&lt;=400,U141,(IF($G$15&lt;=550,U142,(IF($G$15&lt;=700,U143,(IF($G$15&lt;=1000,U144,(IF($G$15&lt;=1500,U145,(IF($G$15&gt;1500,U146)))))))))))</f>
        <v>100</v>
      </c>
      <c r="V124" s="315">
        <f>T124*U124</f>
        <v>100</v>
      </c>
      <c r="W124" s="122"/>
      <c r="X124" s="122"/>
      <c r="Y124" s="122"/>
      <c r="Z124" s="122"/>
      <c r="AA124" s="122"/>
      <c r="AB124" s="122"/>
      <c r="AC124" s="18"/>
    </row>
    <row r="125" spans="18:29" ht="12" customHeight="1" x14ac:dyDescent="0.2">
      <c r="R125" s="317" t="s">
        <v>335</v>
      </c>
      <c r="S125" s="22" t="s">
        <v>336</v>
      </c>
      <c r="T125" s="106">
        <v>1</v>
      </c>
      <c r="U125" s="300">
        <f>IF($G$15&lt;=400,V141,(IF($G$15&lt;=550,V142,(IF($G$15&lt;=700,V143,(IF($G$15&lt;=1000,V144,(IF($G$15&lt;=1500,V145,(IF($G$15&gt;1500,V146)))))))))))</f>
        <v>125</v>
      </c>
      <c r="V125" s="316">
        <f>T125*U125</f>
        <v>125</v>
      </c>
      <c r="W125" s="60" t="s">
        <v>41</v>
      </c>
      <c r="X125" s="122"/>
      <c r="Y125" s="122"/>
      <c r="Z125" s="122"/>
      <c r="AA125" s="122"/>
      <c r="AB125" s="122"/>
      <c r="AC125" s="18"/>
    </row>
    <row r="126" spans="18:29" ht="12" customHeight="1" x14ac:dyDescent="0.2">
      <c r="R126" s="317"/>
      <c r="S126" s="22"/>
      <c r="T126" s="80"/>
      <c r="U126" s="80"/>
      <c r="V126" s="318"/>
      <c r="W126" s="122"/>
      <c r="X126" s="122"/>
      <c r="Y126" s="122"/>
      <c r="Z126" s="122"/>
      <c r="AA126" s="122"/>
      <c r="AB126" s="122"/>
    </row>
    <row r="127" spans="18:29" ht="12" customHeight="1" thickBot="1" x14ac:dyDescent="0.25">
      <c r="R127" s="319" t="s">
        <v>337</v>
      </c>
      <c r="S127" s="320"/>
      <c r="T127" s="321"/>
      <c r="U127" s="321"/>
      <c r="V127" s="322">
        <f>SUM(V123:V125)</f>
        <v>1425</v>
      </c>
      <c r="W127" s="122"/>
      <c r="X127" s="122"/>
      <c r="Y127" s="122"/>
      <c r="Z127" s="122"/>
      <c r="AA127" s="122"/>
      <c r="AB127" s="122"/>
      <c r="AC127" s="18"/>
    </row>
    <row r="128" spans="18:29" ht="12" customHeight="1" thickBot="1" x14ac:dyDescent="0.25">
      <c r="R128" s="18"/>
      <c r="S128" s="32"/>
      <c r="T128" s="32"/>
      <c r="U128" s="32"/>
      <c r="V128" s="122"/>
      <c r="W128" s="122"/>
      <c r="X128" s="122"/>
      <c r="Y128" s="122"/>
      <c r="Z128" s="122"/>
      <c r="AA128" s="122"/>
      <c r="AB128" s="122"/>
      <c r="AC128" s="18"/>
    </row>
    <row r="129" spans="18:29" ht="12" customHeight="1" thickBot="1" x14ac:dyDescent="0.25">
      <c r="R129" s="18"/>
      <c r="S129" s="467" t="s">
        <v>102</v>
      </c>
      <c r="T129" s="469"/>
      <c r="U129" s="32"/>
      <c r="V129" s="122"/>
      <c r="W129" s="122"/>
      <c r="X129" s="122"/>
      <c r="Y129" s="122"/>
      <c r="Z129" s="122"/>
      <c r="AA129" s="122"/>
      <c r="AB129" s="122"/>
      <c r="AC129" s="18"/>
    </row>
    <row r="130" spans="18:29" ht="12" customHeight="1" thickBot="1" x14ac:dyDescent="0.25">
      <c r="R130" s="18"/>
      <c r="S130" s="173" t="s">
        <v>103</v>
      </c>
      <c r="T130" s="174">
        <v>1</v>
      </c>
      <c r="U130" s="32"/>
      <c r="V130" s="122"/>
      <c r="W130" s="122"/>
      <c r="X130" s="122"/>
      <c r="Y130" s="122"/>
      <c r="Z130" s="122"/>
      <c r="AA130" s="122"/>
      <c r="AB130" s="122"/>
      <c r="AC130" s="18"/>
    </row>
    <row r="131" spans="18:29" ht="12" customHeight="1" x14ac:dyDescent="0.2">
      <c r="R131" s="117"/>
      <c r="S131" s="176" t="s">
        <v>104</v>
      </c>
      <c r="T131" s="177">
        <v>100</v>
      </c>
      <c r="U131" s="117"/>
      <c r="V131" s="117"/>
      <c r="W131" s="117"/>
      <c r="X131" s="122"/>
      <c r="Y131" s="122"/>
      <c r="Z131" s="122"/>
      <c r="AA131" s="122"/>
      <c r="AB131" s="122"/>
      <c r="AC131" s="18"/>
    </row>
    <row r="132" spans="18:29" ht="12" customHeight="1" x14ac:dyDescent="0.2">
      <c r="R132" s="117"/>
      <c r="S132" s="179" t="s">
        <v>105</v>
      </c>
      <c r="T132" s="180">
        <v>125</v>
      </c>
      <c r="U132" s="117"/>
      <c r="V132" s="117"/>
      <c r="W132" s="117"/>
      <c r="X132" s="117"/>
      <c r="Y132" s="117"/>
      <c r="Z132" s="117"/>
      <c r="AA132" s="117"/>
      <c r="AB132" s="117"/>
      <c r="AC132" s="117"/>
    </row>
    <row r="133" spans="18:29" ht="12" customHeight="1" x14ac:dyDescent="0.2">
      <c r="R133" s="117"/>
      <c r="S133" s="179" t="s">
        <v>106</v>
      </c>
      <c r="T133" s="180">
        <v>150</v>
      </c>
      <c r="U133" s="117"/>
      <c r="V133" s="117"/>
      <c r="W133" s="117"/>
      <c r="X133" s="117"/>
      <c r="Y133" s="117"/>
      <c r="Z133" s="117"/>
      <c r="AA133" s="117"/>
      <c r="AB133" s="117"/>
      <c r="AC133" s="117"/>
    </row>
    <row r="134" spans="18:29" ht="12" customHeight="1" x14ac:dyDescent="0.2">
      <c r="R134" s="117"/>
      <c r="S134" s="179" t="s">
        <v>107</v>
      </c>
      <c r="T134" s="180">
        <v>150</v>
      </c>
      <c r="U134" s="117"/>
      <c r="V134" s="117"/>
      <c r="W134" s="117"/>
      <c r="X134" s="117"/>
      <c r="Y134" s="117"/>
      <c r="Z134" s="117"/>
      <c r="AA134" s="117"/>
      <c r="AB134" s="117"/>
      <c r="AC134" s="117"/>
    </row>
    <row r="135" spans="18:29" ht="12" customHeight="1" x14ac:dyDescent="0.2">
      <c r="R135" s="117"/>
      <c r="S135" s="179" t="s">
        <v>108</v>
      </c>
      <c r="T135" s="180">
        <v>150</v>
      </c>
      <c r="U135" s="117"/>
      <c r="V135" s="117"/>
      <c r="W135" s="117"/>
      <c r="X135" s="117"/>
      <c r="Y135" s="117"/>
      <c r="Z135" s="117"/>
      <c r="AA135" s="117"/>
      <c r="AB135" s="117"/>
      <c r="AC135" s="117"/>
    </row>
    <row r="136" spans="18:29" ht="12" customHeight="1" thickBot="1" x14ac:dyDescent="0.25">
      <c r="R136" s="117"/>
      <c r="S136" s="176" t="s">
        <v>109</v>
      </c>
      <c r="T136" s="181">
        <v>150</v>
      </c>
      <c r="U136" s="32"/>
      <c r="V136" s="122"/>
      <c r="W136" s="122"/>
      <c r="X136" s="117"/>
      <c r="Y136" s="117"/>
      <c r="Z136" s="117"/>
      <c r="AA136" s="117"/>
      <c r="AB136" s="117"/>
      <c r="AC136" s="117"/>
    </row>
    <row r="137" spans="18:29" ht="12" customHeight="1" thickBot="1" x14ac:dyDescent="0.25">
      <c r="R137" s="117"/>
      <c r="S137" s="186" t="s">
        <v>110</v>
      </c>
      <c r="T137" s="472"/>
      <c r="U137" s="32"/>
      <c r="V137" s="122"/>
      <c r="W137" s="122"/>
      <c r="X137" s="122"/>
      <c r="Y137" s="122"/>
      <c r="Z137" s="122"/>
      <c r="AA137" s="122"/>
      <c r="AB137" s="122"/>
      <c r="AC137" s="117"/>
    </row>
    <row r="138" spans="18:29" ht="12" customHeight="1" thickBot="1" x14ac:dyDescent="0.25">
      <c r="R138" s="117"/>
      <c r="U138" s="32"/>
      <c r="V138" s="122"/>
      <c r="W138" s="122"/>
      <c r="X138" s="122"/>
      <c r="Y138" s="122"/>
      <c r="Z138" s="122"/>
      <c r="AA138" s="122"/>
      <c r="AB138" s="122"/>
      <c r="AC138" s="117"/>
    </row>
    <row r="139" spans="18:29" ht="12" customHeight="1" thickBot="1" x14ac:dyDescent="0.25">
      <c r="S139" s="945" t="s">
        <v>102</v>
      </c>
      <c r="T139" s="946"/>
      <c r="U139" s="946"/>
      <c r="V139" s="946"/>
      <c r="W139" s="947"/>
      <c r="Y139" s="122"/>
      <c r="Z139" s="122"/>
      <c r="AA139" s="122"/>
      <c r="AB139" s="122"/>
      <c r="AC139" s="117"/>
    </row>
    <row r="140" spans="18:29" ht="12" customHeight="1" thickBot="1" x14ac:dyDescent="0.25">
      <c r="R140" s="117"/>
      <c r="S140" s="134" t="s">
        <v>103</v>
      </c>
      <c r="T140" s="135" t="s">
        <v>338</v>
      </c>
      <c r="U140" s="135" t="s">
        <v>339</v>
      </c>
      <c r="V140" s="135" t="s">
        <v>340</v>
      </c>
      <c r="W140" s="136" t="s">
        <v>179</v>
      </c>
      <c r="Y140" s="122"/>
      <c r="Z140" s="122"/>
      <c r="AA140" s="122"/>
      <c r="AB140" s="122"/>
      <c r="AC140" s="117"/>
    </row>
    <row r="141" spans="18:29" ht="12" customHeight="1" x14ac:dyDescent="0.2">
      <c r="S141" s="137" t="s">
        <v>104</v>
      </c>
      <c r="T141" s="138">
        <v>1200</v>
      </c>
      <c r="U141" s="138">
        <v>100</v>
      </c>
      <c r="V141" s="138">
        <v>100</v>
      </c>
      <c r="W141" s="139">
        <f>SUM(T141:V141)</f>
        <v>1400</v>
      </c>
    </row>
    <row r="142" spans="18:29" ht="12" customHeight="1" x14ac:dyDescent="0.2">
      <c r="S142" s="140" t="s">
        <v>105</v>
      </c>
      <c r="T142" s="141">
        <v>1200</v>
      </c>
      <c r="U142" s="141">
        <v>100</v>
      </c>
      <c r="V142" s="141">
        <v>125</v>
      </c>
      <c r="W142" s="139">
        <f t="shared" ref="W142:W146" si="11">SUM(T142:V142)</f>
        <v>1425</v>
      </c>
    </row>
    <row r="143" spans="18:29" ht="12" customHeight="1" x14ac:dyDescent="0.2">
      <c r="S143" s="140" t="s">
        <v>106</v>
      </c>
      <c r="T143" s="141">
        <v>2400</v>
      </c>
      <c r="U143" s="141">
        <v>100</v>
      </c>
      <c r="V143" s="141">
        <v>150</v>
      </c>
      <c r="W143" s="139">
        <f t="shared" si="11"/>
        <v>2650</v>
      </c>
    </row>
    <row r="144" spans="18:29" ht="12" customHeight="1" x14ac:dyDescent="0.2">
      <c r="S144" s="140" t="s">
        <v>107</v>
      </c>
      <c r="T144" s="141">
        <v>2400</v>
      </c>
      <c r="U144" s="141">
        <v>200</v>
      </c>
      <c r="V144" s="141">
        <v>300</v>
      </c>
      <c r="W144" s="139">
        <f t="shared" si="11"/>
        <v>2900</v>
      </c>
    </row>
    <row r="145" spans="18:23" ht="12" customHeight="1" x14ac:dyDescent="0.2">
      <c r="S145" s="140" t="s">
        <v>108</v>
      </c>
      <c r="T145" s="141">
        <v>3600</v>
      </c>
      <c r="U145" s="141">
        <v>200</v>
      </c>
      <c r="V145" s="141">
        <v>450</v>
      </c>
      <c r="W145" s="139">
        <f t="shared" si="11"/>
        <v>4250</v>
      </c>
    </row>
    <row r="146" spans="18:23" ht="12" customHeight="1" thickBot="1" x14ac:dyDescent="0.25">
      <c r="S146" s="142" t="s">
        <v>109</v>
      </c>
      <c r="T146" s="143">
        <v>4800</v>
      </c>
      <c r="U146" s="143">
        <v>200</v>
      </c>
      <c r="V146" s="143">
        <v>600</v>
      </c>
      <c r="W146" s="139">
        <f t="shared" si="11"/>
        <v>5600</v>
      </c>
    </row>
    <row r="147" spans="18:23" ht="12" customHeight="1" thickBot="1" x14ac:dyDescent="0.25">
      <c r="S147" s="948" t="s">
        <v>110</v>
      </c>
      <c r="T147" s="949"/>
      <c r="U147" s="949"/>
      <c r="V147" s="949"/>
      <c r="W147" s="950"/>
    </row>
    <row r="148" spans="18:23" ht="12" customHeight="1" x14ac:dyDescent="0.2"/>
    <row r="149" spans="18:23" ht="12" customHeight="1" thickBot="1" x14ac:dyDescent="0.25"/>
    <row r="150" spans="18:23" ht="12" customHeight="1" x14ac:dyDescent="0.2">
      <c r="R150" s="887" t="s">
        <v>341</v>
      </c>
      <c r="S150" s="888"/>
      <c r="T150" s="888"/>
      <c r="U150" s="888"/>
      <c r="V150" s="889"/>
    </row>
    <row r="151" spans="18:23" ht="12" customHeight="1" thickBot="1" x14ac:dyDescent="0.25">
      <c r="R151" s="890"/>
      <c r="S151" s="891"/>
      <c r="T151" s="891"/>
      <c r="U151" s="891"/>
      <c r="V151" s="892"/>
    </row>
    <row r="152" spans="18:23" ht="12" customHeight="1" x14ac:dyDescent="0.2">
      <c r="R152" s="310"/>
      <c r="S152" s="96"/>
      <c r="T152" s="473" t="s">
        <v>33</v>
      </c>
      <c r="U152" s="474"/>
      <c r="V152" s="311"/>
    </row>
    <row r="153" spans="18:23" ht="12" customHeight="1" thickBot="1" x14ac:dyDescent="0.25">
      <c r="R153" s="312" t="s">
        <v>121</v>
      </c>
      <c r="S153" s="99"/>
      <c r="T153" s="100" t="s">
        <v>122</v>
      </c>
      <c r="U153" s="100" t="s">
        <v>38</v>
      </c>
      <c r="V153" s="313" t="s">
        <v>123</v>
      </c>
    </row>
    <row r="154" spans="18:23" ht="12" customHeight="1" x14ac:dyDescent="0.2">
      <c r="R154" s="317" t="s">
        <v>342</v>
      </c>
      <c r="S154" s="22" t="s">
        <v>343</v>
      </c>
      <c r="T154" s="167">
        <v>1</v>
      </c>
      <c r="U154" s="167">
        <f>IF($G$15&lt;=400,T161,(IF($G$15&lt;=550,T162,(IF($G$15&lt;=700,T163,(IF($G$15&lt;=1000,T164,(IF($G$15&lt;=1500,T165,(IF($G$15&gt;1500,T166)))))))))))</f>
        <v>1200</v>
      </c>
      <c r="V154" s="315">
        <f>T154*U154</f>
        <v>1200</v>
      </c>
    </row>
    <row r="155" spans="18:23" ht="12" customHeight="1" x14ac:dyDescent="0.2">
      <c r="R155" s="317" t="s">
        <v>344</v>
      </c>
      <c r="S155" s="22" t="s">
        <v>345</v>
      </c>
      <c r="T155" s="187">
        <v>1</v>
      </c>
      <c r="U155" s="106">
        <f>IF($G$15&lt;=400,U161,(IF($G$15&lt;=550,U162,(IF($G$15&lt;=700,U163,(IF($G$15&lt;=1000,U164,(IF($G$15&lt;=1500,U165,(IF($G$15&gt;1500,U166)))))))))))</f>
        <v>0</v>
      </c>
      <c r="V155" s="316">
        <f>T155*U155</f>
        <v>0</v>
      </c>
    </row>
    <row r="156" spans="18:23" ht="12" customHeight="1" x14ac:dyDescent="0.2">
      <c r="R156" s="317"/>
      <c r="S156" s="22"/>
      <c r="T156" s="80"/>
      <c r="U156" s="80"/>
      <c r="V156" s="318"/>
    </row>
    <row r="157" spans="18:23" ht="12" customHeight="1" thickBot="1" x14ac:dyDescent="0.25">
      <c r="R157" s="319" t="s">
        <v>346</v>
      </c>
      <c r="S157" s="320"/>
      <c r="T157" s="321"/>
      <c r="U157" s="321"/>
      <c r="V157" s="322">
        <f>SUM(V154:V155)</f>
        <v>1200</v>
      </c>
    </row>
    <row r="158" spans="18:23" ht="12" customHeight="1" thickBot="1" x14ac:dyDescent="0.25"/>
    <row r="159" spans="18:23" ht="12" customHeight="1" thickBot="1" x14ac:dyDescent="0.25">
      <c r="S159" s="945" t="s">
        <v>102</v>
      </c>
      <c r="T159" s="946"/>
      <c r="U159" s="946"/>
      <c r="V159" s="947"/>
    </row>
    <row r="160" spans="18:23" ht="12" customHeight="1" thickBot="1" x14ac:dyDescent="0.25">
      <c r="S160" s="134" t="s">
        <v>103</v>
      </c>
      <c r="T160" s="135" t="s">
        <v>496</v>
      </c>
      <c r="U160" s="135" t="s">
        <v>497</v>
      </c>
      <c r="V160" s="136" t="s">
        <v>179</v>
      </c>
    </row>
    <row r="161" spans="18:35" ht="12" customHeight="1" x14ac:dyDescent="0.2">
      <c r="S161" s="137" t="s">
        <v>104</v>
      </c>
      <c r="T161" s="138">
        <v>1200</v>
      </c>
      <c r="U161" s="138">
        <v>0</v>
      </c>
      <c r="V161" s="139">
        <f>SUM(T161:U161)</f>
        <v>1200</v>
      </c>
    </row>
    <row r="162" spans="18:35" ht="12" customHeight="1" x14ac:dyDescent="0.2">
      <c r="S162" s="140" t="s">
        <v>105</v>
      </c>
      <c r="T162" s="141">
        <v>1200</v>
      </c>
      <c r="U162" s="141">
        <v>0</v>
      </c>
      <c r="V162" s="139">
        <f t="shared" ref="V162:V166" si="12">SUM(T162:U162)</f>
        <v>1200</v>
      </c>
    </row>
    <row r="163" spans="18:35" ht="12" customHeight="1" x14ac:dyDescent="0.2">
      <c r="S163" s="140" t="s">
        <v>106</v>
      </c>
      <c r="T163" s="141">
        <v>1200</v>
      </c>
      <c r="U163" s="141">
        <v>0</v>
      </c>
      <c r="V163" s="139">
        <f t="shared" si="12"/>
        <v>1200</v>
      </c>
    </row>
    <row r="164" spans="18:35" ht="12" customHeight="1" x14ac:dyDescent="0.2">
      <c r="S164" s="140" t="s">
        <v>107</v>
      </c>
      <c r="T164" s="141">
        <v>1200</v>
      </c>
      <c r="U164" s="141">
        <v>200</v>
      </c>
      <c r="V164" s="139">
        <f t="shared" si="12"/>
        <v>1400</v>
      </c>
    </row>
    <row r="165" spans="18:35" ht="12" customHeight="1" x14ac:dyDescent="0.2">
      <c r="S165" s="140" t="s">
        <v>108</v>
      </c>
      <c r="T165" s="141">
        <v>2400</v>
      </c>
      <c r="U165" s="141">
        <v>200</v>
      </c>
      <c r="V165" s="139">
        <f t="shared" si="12"/>
        <v>2600</v>
      </c>
    </row>
    <row r="166" spans="18:35" ht="12" customHeight="1" thickBot="1" x14ac:dyDescent="0.25">
      <c r="S166" s="142" t="s">
        <v>109</v>
      </c>
      <c r="T166" s="143">
        <v>3600</v>
      </c>
      <c r="U166" s="143">
        <v>300</v>
      </c>
      <c r="V166" s="139">
        <f t="shared" si="12"/>
        <v>3900</v>
      </c>
    </row>
    <row r="167" spans="18:35" ht="12" customHeight="1" thickBot="1" x14ac:dyDescent="0.25">
      <c r="S167" s="948" t="s">
        <v>110</v>
      </c>
      <c r="T167" s="949"/>
      <c r="U167" s="949"/>
      <c r="V167" s="950"/>
    </row>
    <row r="168" spans="18:35" ht="12" customHeight="1" x14ac:dyDescent="0.2"/>
    <row r="169" spans="18:35" ht="12" customHeight="1" x14ac:dyDescent="0.2"/>
    <row r="170" spans="18:35" ht="12" customHeight="1" x14ac:dyDescent="0.2"/>
    <row r="171" spans="18:35" ht="12" customHeight="1" thickBot="1" x14ac:dyDescent="0.25"/>
    <row r="172" spans="18:35" ht="12" customHeight="1" x14ac:dyDescent="0.2">
      <c r="R172" s="887" t="s">
        <v>120</v>
      </c>
      <c r="S172" s="888"/>
      <c r="T172" s="888"/>
      <c r="U172" s="888"/>
      <c r="V172" s="889"/>
      <c r="W172" s="2"/>
      <c r="X172" s="2"/>
      <c r="Y172" s="2"/>
      <c r="Z172" s="2"/>
      <c r="AA172" s="2"/>
      <c r="AB172" s="2"/>
      <c r="AC172" s="2"/>
      <c r="AD172" s="2"/>
      <c r="AE172" s="2"/>
      <c r="AF172" s="2"/>
      <c r="AG172" s="2"/>
      <c r="AH172" s="2"/>
      <c r="AI172" s="2"/>
    </row>
    <row r="173" spans="18:35" ht="12" customHeight="1" thickBot="1" x14ac:dyDescent="0.25">
      <c r="R173" s="890"/>
      <c r="S173" s="891"/>
      <c r="T173" s="891"/>
      <c r="U173" s="891"/>
      <c r="V173" s="892"/>
      <c r="W173" s="2"/>
      <c r="X173" s="2"/>
      <c r="Y173" s="2"/>
      <c r="Z173" s="2"/>
      <c r="AA173" s="2"/>
      <c r="AB173" s="2"/>
      <c r="AC173" s="18"/>
      <c r="AD173" s="2"/>
      <c r="AE173" s="2"/>
      <c r="AF173" s="2"/>
      <c r="AG173" s="2"/>
      <c r="AH173" s="2"/>
      <c r="AI173" s="2"/>
    </row>
    <row r="174" spans="18:35" ht="12" customHeight="1" x14ac:dyDescent="0.2">
      <c r="R174" s="310"/>
      <c r="S174" s="96"/>
      <c r="T174" s="473" t="s">
        <v>33</v>
      </c>
      <c r="U174" s="474"/>
      <c r="V174" s="311"/>
      <c r="W174" s="2"/>
      <c r="X174" s="2"/>
      <c r="Y174" s="2"/>
      <c r="Z174" s="2"/>
      <c r="AA174" s="2"/>
      <c r="AB174" s="2"/>
      <c r="AC174" s="18"/>
      <c r="AD174" s="2"/>
      <c r="AE174" s="2"/>
      <c r="AF174" s="2"/>
      <c r="AG174" s="2"/>
      <c r="AH174" s="2"/>
      <c r="AI174" s="2"/>
    </row>
    <row r="175" spans="18:35" ht="12" customHeight="1" thickBot="1" x14ac:dyDescent="0.25">
      <c r="R175" s="312" t="s">
        <v>121</v>
      </c>
      <c r="S175" s="99"/>
      <c r="T175" s="100" t="s">
        <v>122</v>
      </c>
      <c r="U175" s="100" t="s">
        <v>38</v>
      </c>
      <c r="V175" s="313" t="s">
        <v>123</v>
      </c>
      <c r="W175" s="2"/>
      <c r="X175" s="2"/>
      <c r="Y175" s="2"/>
      <c r="Z175" s="2"/>
      <c r="AA175" s="2"/>
      <c r="AB175" s="2"/>
      <c r="AC175" s="18"/>
      <c r="AD175" s="2"/>
      <c r="AE175" s="2"/>
      <c r="AF175" s="2"/>
      <c r="AG175" s="2"/>
      <c r="AH175" s="2"/>
      <c r="AI175" s="2"/>
    </row>
    <row r="176" spans="18:35" ht="12" customHeight="1" x14ac:dyDescent="0.2">
      <c r="R176" s="317" t="s">
        <v>124</v>
      </c>
      <c r="S176" s="22" t="s">
        <v>125</v>
      </c>
      <c r="T176" s="106">
        <v>1</v>
      </c>
      <c r="U176" s="188">
        <f>IF($G$15&lt;=400,T196,(IF($G$15&lt;=550,T197,(IF($G$15&lt;=700,T198,(IF($G$15&lt;=1000,T199,(IF($G$15&lt;=1500,T200,(IF($G$15&gt;1500,T201)))))))))))</f>
        <v>345</v>
      </c>
      <c r="V176" s="315">
        <f>T176*U176</f>
        <v>345</v>
      </c>
      <c r="W176" s="168"/>
      <c r="X176" s="2"/>
      <c r="Y176" s="2"/>
      <c r="Z176" s="2"/>
      <c r="AA176" s="2"/>
      <c r="AB176" s="2"/>
      <c r="AC176" s="2"/>
      <c r="AD176" s="2"/>
      <c r="AE176" s="2"/>
      <c r="AF176" s="2"/>
      <c r="AG176" s="2"/>
      <c r="AH176" s="2"/>
      <c r="AI176" s="2"/>
    </row>
    <row r="177" spans="18:35" ht="12" customHeight="1" x14ac:dyDescent="0.2">
      <c r="R177" s="317" t="s">
        <v>126</v>
      </c>
      <c r="S177" s="22" t="s">
        <v>127</v>
      </c>
      <c r="T177" s="106">
        <v>1</v>
      </c>
      <c r="U177" s="188">
        <f>IF($G$15&lt;=400,U196,(IF($G$15&lt;=550,U197,(IF($G$15&lt;=700,U198,(IF($G$15&lt;=1000,U199,(IF($G$15&lt;=1500,U200,(IF($G$15&gt;1500,U201)))))))))))</f>
        <v>344</v>
      </c>
      <c r="V177" s="315">
        <f t="shared" ref="V177:V190" si="13">T177*U177</f>
        <v>344</v>
      </c>
      <c r="W177" s="168"/>
      <c r="X177" s="2"/>
      <c r="Y177" s="2"/>
      <c r="Z177" s="2"/>
      <c r="AA177" s="2"/>
      <c r="AB177" s="2"/>
      <c r="AC177" s="2"/>
      <c r="AD177" s="2"/>
      <c r="AE177" s="2"/>
      <c r="AF177" s="2"/>
      <c r="AG177" s="2"/>
      <c r="AH177" s="2"/>
      <c r="AI177" s="2"/>
    </row>
    <row r="178" spans="18:35" ht="12" customHeight="1" x14ac:dyDescent="0.2">
      <c r="R178" s="317" t="s">
        <v>128</v>
      </c>
      <c r="S178" s="22" t="s">
        <v>129</v>
      </c>
      <c r="T178" s="106">
        <v>1</v>
      </c>
      <c r="U178" s="167">
        <f>IF($G$15&lt;=400,V196,(IF($G$15&lt;=550,V197,(IF($G$15&lt;=700,V198,(IF($G$15&lt;=1000,V199,(IF($G$15&lt;=1500,V200,(IF($G$15&gt;1500,V201)))))))))))</f>
        <v>150</v>
      </c>
      <c r="V178" s="315">
        <f t="shared" si="13"/>
        <v>150</v>
      </c>
      <c r="W178" s="168"/>
      <c r="X178" s="2"/>
      <c r="Y178" s="2"/>
      <c r="Z178" s="2"/>
      <c r="AA178" s="2"/>
      <c r="AB178" s="2"/>
      <c r="AC178" s="2"/>
      <c r="AD178" s="2"/>
      <c r="AE178" s="2"/>
      <c r="AF178" s="2"/>
      <c r="AG178" s="2"/>
      <c r="AH178" s="2"/>
      <c r="AI178" s="2"/>
    </row>
    <row r="179" spans="18:35" ht="12" customHeight="1" x14ac:dyDescent="0.2">
      <c r="R179" s="317" t="s">
        <v>130</v>
      </c>
      <c r="S179" s="22" t="s">
        <v>131</v>
      </c>
      <c r="T179" s="106">
        <v>1</v>
      </c>
      <c r="U179" s="167">
        <f>IF($G$15&lt;=400,W$196,(IF($G$15&lt;=550,W$197,(IF($G$15&lt;=700,W$198,(IF($G$15&lt;=1000,W$199,(IF($G$15&lt;=1500,W$200,(IF($G$15&gt;1500,W$201)))))))))))</f>
        <v>0</v>
      </c>
      <c r="V179" s="315">
        <f t="shared" si="13"/>
        <v>0</v>
      </c>
      <c r="W179" s="168"/>
      <c r="X179" s="2"/>
      <c r="Y179" s="2"/>
      <c r="Z179" s="2"/>
      <c r="AA179" s="2"/>
      <c r="AB179" s="2"/>
      <c r="AC179" s="2"/>
      <c r="AD179" s="2"/>
      <c r="AE179" s="2"/>
      <c r="AF179" s="2"/>
      <c r="AG179" s="2"/>
      <c r="AH179" s="2"/>
      <c r="AI179" s="2"/>
    </row>
    <row r="180" spans="18:35" ht="12" customHeight="1" x14ac:dyDescent="0.2">
      <c r="R180" s="317" t="s">
        <v>132</v>
      </c>
      <c r="S180" s="22" t="s">
        <v>133</v>
      </c>
      <c r="T180" s="106">
        <v>1</v>
      </c>
      <c r="U180" s="167">
        <f>IF($G$15&lt;=400,X$196,(IF($G$15&lt;=550,X$197,(IF($G$15&lt;=700,X$198,(IF($G$15&lt;=1000,X$199,(IF($G$15&lt;=1500,X$200,(IF($G$15&gt;1500,X$201)))))))))))</f>
        <v>250</v>
      </c>
      <c r="V180" s="315">
        <f t="shared" si="13"/>
        <v>250</v>
      </c>
      <c r="W180" s="168"/>
      <c r="X180" s="2"/>
      <c r="Y180" s="2"/>
      <c r="Z180" s="2"/>
      <c r="AA180" s="2"/>
      <c r="AB180" s="2"/>
      <c r="AC180" s="2"/>
      <c r="AD180" s="2"/>
      <c r="AE180" s="2"/>
      <c r="AF180" s="2"/>
      <c r="AG180" s="2"/>
      <c r="AH180" s="2"/>
      <c r="AI180" s="2"/>
    </row>
    <row r="181" spans="18:35" ht="12" customHeight="1" x14ac:dyDescent="0.2">
      <c r="R181" s="317" t="s">
        <v>134</v>
      </c>
      <c r="S181" s="22" t="s">
        <v>135</v>
      </c>
      <c r="T181" s="106">
        <v>1</v>
      </c>
      <c r="U181" s="167">
        <f>IF($G$15&lt;=400,Y$196,(IF($G$15&lt;=550,Y$197,(IF($G$15&lt;=700,Y$198,(IF($G$15&lt;=1000,Y$199,(IF($G$15&lt;=1500,Y$200,(IF($G$15&gt;1500,Y$201)))))))))))</f>
        <v>250</v>
      </c>
      <c r="V181" s="315">
        <f t="shared" si="13"/>
        <v>250</v>
      </c>
      <c r="W181" s="168"/>
      <c r="X181" s="2"/>
      <c r="Y181" s="2"/>
      <c r="Z181" s="2"/>
      <c r="AA181" s="2"/>
      <c r="AB181" s="2"/>
      <c r="AC181" s="2"/>
      <c r="AD181" s="2"/>
      <c r="AE181" s="2"/>
      <c r="AF181" s="2"/>
      <c r="AG181" s="2"/>
      <c r="AH181" s="2"/>
      <c r="AI181" s="2"/>
    </row>
    <row r="182" spans="18:35" ht="12" customHeight="1" x14ac:dyDescent="0.2">
      <c r="R182" s="317" t="s">
        <v>136</v>
      </c>
      <c r="S182" s="22" t="s">
        <v>137</v>
      </c>
      <c r="T182" s="106">
        <v>1</v>
      </c>
      <c r="U182" s="167">
        <f>IF($G$15&lt;=400,Z$196,(IF($G$15&lt;=550,Z$197,(IF($G$15&lt;=700,Z$198,(IF($G$15&lt;=1000,Z$199,(IF($G$15&lt;=1500,Z$200,(IF($G$15&gt;1500,Z$201)))))))))))</f>
        <v>150</v>
      </c>
      <c r="V182" s="315">
        <f t="shared" si="13"/>
        <v>150</v>
      </c>
      <c r="W182" s="168"/>
      <c r="X182" s="2"/>
      <c r="Y182" s="2"/>
      <c r="Z182" s="2"/>
      <c r="AA182" s="2"/>
      <c r="AB182" s="2"/>
      <c r="AC182" s="2"/>
      <c r="AD182" s="2"/>
      <c r="AE182" s="2"/>
      <c r="AF182" s="2"/>
      <c r="AG182" s="2"/>
      <c r="AH182" s="2"/>
      <c r="AI182" s="2"/>
    </row>
    <row r="183" spans="18:35" ht="12" customHeight="1" x14ac:dyDescent="0.2">
      <c r="R183" s="317" t="s">
        <v>138</v>
      </c>
      <c r="S183" s="22" t="s">
        <v>139</v>
      </c>
      <c r="T183" s="106">
        <v>1</v>
      </c>
      <c r="U183" s="167">
        <f>IF($G$15&lt;=400,AA$196,(IF($G$15&lt;=550,AA$197,(IF($G$15&lt;=700,AA$198,(IF($G$15&lt;=1000,AA$199,(IF($G$15&lt;=1500,AA$200,(IF($G$15&gt;1500,AA$201)))))))))))</f>
        <v>100</v>
      </c>
      <c r="V183" s="315">
        <f t="shared" si="13"/>
        <v>100</v>
      </c>
      <c r="W183" s="168"/>
      <c r="X183" s="2"/>
      <c r="Y183" s="2"/>
      <c r="Z183" s="2"/>
      <c r="AA183" s="2"/>
      <c r="AB183" s="2"/>
      <c r="AC183" s="2"/>
      <c r="AD183" s="2"/>
      <c r="AE183" s="2"/>
      <c r="AF183" s="2"/>
      <c r="AG183" s="2"/>
      <c r="AH183" s="2"/>
      <c r="AI183" s="2"/>
    </row>
    <row r="184" spans="18:35" ht="12" customHeight="1" x14ac:dyDescent="0.2">
      <c r="R184" s="317" t="s">
        <v>140</v>
      </c>
      <c r="S184" s="22" t="s">
        <v>141</v>
      </c>
      <c r="T184" s="106">
        <v>1</v>
      </c>
      <c r="U184" s="167">
        <f>IF($G$15&lt;=400,AB$196,(IF($G$15&lt;=550,AB$197,(IF($G$15&lt;=700,AB$198,(IF($G$15&lt;=1000,AB$199,(IF($G$15&lt;=1500,AB$200,(IF($G$15&gt;1500,AB$201)))))))))))</f>
        <v>250</v>
      </c>
      <c r="V184" s="315">
        <f t="shared" si="13"/>
        <v>250</v>
      </c>
      <c r="W184" s="168"/>
      <c r="X184" s="2"/>
      <c r="Y184" s="2"/>
      <c r="Z184" s="2"/>
      <c r="AA184" s="2"/>
      <c r="AB184" s="2"/>
      <c r="AC184" s="2"/>
      <c r="AD184" s="2"/>
      <c r="AE184" s="2"/>
      <c r="AF184" s="2"/>
      <c r="AG184" s="2"/>
      <c r="AH184" s="2"/>
      <c r="AI184" s="2"/>
    </row>
    <row r="185" spans="18:35" ht="12" customHeight="1" x14ac:dyDescent="0.2">
      <c r="R185" s="317" t="s">
        <v>142</v>
      </c>
      <c r="S185" s="22" t="s">
        <v>143</v>
      </c>
      <c r="T185" s="106">
        <v>1</v>
      </c>
      <c r="U185" s="167">
        <f>IF($G$15&lt;=400,AC$196,(IF($G$15&lt;=550,AC$197,(IF($G$15&lt;=700,AC$198,(IF($G$15&lt;=1000,AC$199,(IF($G$15&lt;=1500,AC$200,(IF($G$15&gt;1500,AC$201)))))))))))</f>
        <v>60</v>
      </c>
      <c r="V185" s="315">
        <f t="shared" si="13"/>
        <v>60</v>
      </c>
      <c r="W185" s="168"/>
      <c r="X185" s="2"/>
      <c r="Y185" s="2"/>
      <c r="Z185" s="2"/>
      <c r="AA185" s="2"/>
      <c r="AB185" s="2"/>
      <c r="AC185" s="2"/>
      <c r="AD185" s="2"/>
      <c r="AE185" s="2"/>
      <c r="AF185" s="2"/>
      <c r="AG185" s="2"/>
      <c r="AH185" s="2"/>
      <c r="AI185" s="2"/>
    </row>
    <row r="186" spans="18:35" ht="12" customHeight="1" x14ac:dyDescent="0.2">
      <c r="R186" s="317" t="s">
        <v>144</v>
      </c>
      <c r="S186" s="22" t="s">
        <v>145</v>
      </c>
      <c r="T186" s="106">
        <v>1</v>
      </c>
      <c r="U186" s="167">
        <f>IF($G$15&lt;=400,AD$196,(IF($G$15&lt;=550,AD$197,(IF($G$15&lt;=700,AD$198,(IF($G$15&lt;=1000,AD$199,(IF($G$15&lt;=1500,AD$200,(IF($G$15&gt;1500,AD$201)))))))))))</f>
        <v>100</v>
      </c>
      <c r="V186" s="315">
        <f t="shared" si="13"/>
        <v>100</v>
      </c>
      <c r="W186" s="168"/>
      <c r="X186" s="2"/>
      <c r="Y186" s="2"/>
      <c r="Z186" s="2"/>
      <c r="AA186" s="2"/>
      <c r="AB186" s="2"/>
      <c r="AC186" s="2"/>
      <c r="AD186" s="2"/>
      <c r="AE186" s="2"/>
      <c r="AF186" s="2"/>
      <c r="AG186" s="2"/>
      <c r="AH186" s="2"/>
      <c r="AI186" s="2"/>
    </row>
    <row r="187" spans="18:35" ht="12" customHeight="1" x14ac:dyDescent="0.2">
      <c r="R187" s="317" t="s">
        <v>146</v>
      </c>
      <c r="S187" s="59" t="s">
        <v>147</v>
      </c>
      <c r="T187" s="189">
        <v>1</v>
      </c>
      <c r="U187" s="167">
        <f>IF($G$15&lt;=400,AE$196,(IF($G$15&lt;=550,AE$197,(IF($G$15&lt;=700,AE$198,(IF($G$15&lt;=1000,AE$199,(IF($G$15&lt;=1500,AE$200,(IF($G$15&gt;1500,AE$201)))))))))))</f>
        <v>100</v>
      </c>
      <c r="V187" s="375">
        <f t="shared" si="13"/>
        <v>100</v>
      </c>
      <c r="W187" s="168"/>
      <c r="X187" s="2"/>
      <c r="Y187" s="2"/>
      <c r="Z187" s="2"/>
      <c r="AA187" s="2"/>
      <c r="AB187" s="2"/>
      <c r="AC187" s="2"/>
      <c r="AD187" s="2"/>
      <c r="AE187" s="2"/>
      <c r="AF187" s="2"/>
      <c r="AG187" s="2"/>
      <c r="AH187" s="2"/>
      <c r="AI187" s="2"/>
    </row>
    <row r="188" spans="18:35" ht="12" customHeight="1" x14ac:dyDescent="0.2">
      <c r="R188" s="317" t="s">
        <v>148</v>
      </c>
      <c r="S188" s="22" t="s">
        <v>149</v>
      </c>
      <c r="T188" s="191">
        <v>1</v>
      </c>
      <c r="U188" s="167">
        <f>IF($G$15&lt;=400,AF$196,(IF($G$15&lt;=550,AF$197,(IF($G$15&lt;=700,AF$198,(IF($G$15&lt;=1000,AF$199,(IF($G$15&lt;=1500,AF$200,(IF($G$15&gt;1500,AF$201)))))))))))</f>
        <v>0</v>
      </c>
      <c r="V188" s="315">
        <f t="shared" si="13"/>
        <v>0</v>
      </c>
      <c r="W188" s="168"/>
      <c r="X188" s="2"/>
      <c r="Y188" s="2"/>
      <c r="Z188" s="2"/>
      <c r="AA188" s="2"/>
      <c r="AB188" s="2"/>
      <c r="AC188" s="2"/>
      <c r="AD188" s="2"/>
      <c r="AE188" s="2"/>
      <c r="AF188" s="2"/>
      <c r="AG188" s="2"/>
      <c r="AH188" s="2"/>
      <c r="AI188" s="2"/>
    </row>
    <row r="189" spans="18:35" ht="12" customHeight="1" x14ac:dyDescent="0.2">
      <c r="R189" s="317" t="s">
        <v>150</v>
      </c>
      <c r="S189" s="22" t="s">
        <v>151</v>
      </c>
      <c r="T189" s="191">
        <v>1</v>
      </c>
      <c r="U189" s="167">
        <f>IF($G$15&lt;=400,AG$196,(IF($G$15&lt;=550,AG$197,(IF($G$15&lt;=700,AG$198,(IF($G$15&lt;=1000,AG$199,(IF($G$15&lt;=1500,AG$200,(IF($G$15&gt;1500,AG$201)))))))))))</f>
        <v>350</v>
      </c>
      <c r="V189" s="315">
        <f t="shared" si="13"/>
        <v>350</v>
      </c>
      <c r="W189" s="168"/>
      <c r="X189" s="2"/>
      <c r="Y189" s="2"/>
      <c r="Z189" s="2"/>
      <c r="AA189" s="2"/>
      <c r="AB189" s="2"/>
      <c r="AC189" s="2"/>
      <c r="AD189" s="2"/>
      <c r="AE189" s="2"/>
      <c r="AF189" s="2"/>
      <c r="AG189" s="2"/>
      <c r="AH189" s="2"/>
      <c r="AI189" s="2"/>
    </row>
    <row r="190" spans="18:35" ht="12" customHeight="1" x14ac:dyDescent="0.2">
      <c r="R190" s="317" t="s">
        <v>152</v>
      </c>
      <c r="S190" s="22" t="s">
        <v>153</v>
      </c>
      <c r="T190" s="191">
        <v>1</v>
      </c>
      <c r="U190" s="106">
        <f>IF($G$15&lt;=400,AH$196,(IF($G$15&lt;=550,AH$197,(IF($G$15&lt;=700,AH$198,(IF($G$15&lt;=1000,AH$199,(IF($G$15&lt;=1500,AH$200,(IF($G$15&gt;1500,AH$201)))))))))))</f>
        <v>120</v>
      </c>
      <c r="V190" s="316">
        <f t="shared" si="13"/>
        <v>120</v>
      </c>
      <c r="W190" s="2"/>
      <c r="X190" s="2"/>
      <c r="Y190" s="2"/>
      <c r="Z190" s="2"/>
      <c r="AA190" s="2"/>
      <c r="AB190" s="2"/>
      <c r="AC190" s="18"/>
      <c r="AD190" s="2"/>
      <c r="AE190" s="2"/>
      <c r="AF190" s="2"/>
      <c r="AG190" s="2"/>
      <c r="AH190" s="2"/>
      <c r="AI190" s="2"/>
    </row>
    <row r="191" spans="18:35" ht="12" customHeight="1" x14ac:dyDescent="0.2">
      <c r="R191" s="317"/>
      <c r="S191" s="22"/>
      <c r="T191" s="49"/>
      <c r="U191" s="49"/>
      <c r="V191" s="318"/>
      <c r="W191" s="2"/>
      <c r="X191" s="2"/>
      <c r="Y191" s="2"/>
      <c r="Z191" s="2"/>
      <c r="AA191" s="2"/>
      <c r="AB191" s="2"/>
      <c r="AC191" s="18"/>
      <c r="AD191" s="2"/>
      <c r="AE191" s="2"/>
      <c r="AF191" s="2"/>
      <c r="AG191" s="2"/>
      <c r="AH191" s="2"/>
      <c r="AI191" s="2"/>
    </row>
    <row r="192" spans="18:35" ht="12" customHeight="1" thickBot="1" x14ac:dyDescent="0.25">
      <c r="R192" s="319" t="s">
        <v>154</v>
      </c>
      <c r="S192" s="320"/>
      <c r="T192" s="347"/>
      <c r="U192" s="347"/>
      <c r="V192" s="322">
        <f>SUM(V176:V190)</f>
        <v>2569</v>
      </c>
      <c r="W192" s="2"/>
      <c r="X192" s="2"/>
      <c r="Y192" s="2"/>
      <c r="Z192" s="2"/>
      <c r="AA192" s="2"/>
      <c r="AB192" s="2"/>
      <c r="AC192" s="18"/>
      <c r="AD192" s="2"/>
      <c r="AE192" s="2"/>
      <c r="AF192" s="2"/>
      <c r="AG192" s="2"/>
      <c r="AH192" s="2"/>
      <c r="AI192" s="2"/>
    </row>
    <row r="193" spans="18:35" ht="12" customHeight="1" thickBot="1" x14ac:dyDescent="0.25">
      <c r="R193" s="18"/>
      <c r="S193" s="32"/>
      <c r="T193" s="32"/>
      <c r="U193" s="32"/>
      <c r="V193" s="122"/>
      <c r="W193" s="2"/>
      <c r="X193" s="2"/>
      <c r="Y193" s="2"/>
      <c r="Z193" s="2"/>
      <c r="AA193" s="2"/>
      <c r="AB193" s="2"/>
      <c r="AC193" s="18"/>
      <c r="AD193" s="2"/>
      <c r="AE193" s="2"/>
      <c r="AF193" s="2"/>
      <c r="AG193" s="2"/>
      <c r="AH193" s="2"/>
      <c r="AI193" s="2"/>
    </row>
    <row r="194" spans="18:35" ht="12" customHeight="1" thickBot="1" x14ac:dyDescent="0.25">
      <c r="R194" s="18"/>
      <c r="S194" s="945" t="s">
        <v>102</v>
      </c>
      <c r="T194" s="946"/>
      <c r="U194" s="946"/>
      <c r="V194" s="946"/>
      <c r="W194" s="946"/>
      <c r="X194" s="946"/>
      <c r="Y194" s="946"/>
      <c r="Z194" s="946"/>
      <c r="AA194" s="946"/>
      <c r="AB194" s="946"/>
      <c r="AC194" s="946"/>
      <c r="AD194" s="946"/>
      <c r="AE194" s="946"/>
      <c r="AF194" s="946"/>
      <c r="AG194" s="946"/>
      <c r="AH194" s="946"/>
      <c r="AI194" s="947"/>
    </row>
    <row r="195" spans="18:35" ht="12" customHeight="1" thickBot="1" x14ac:dyDescent="0.25">
      <c r="R195" s="193"/>
      <c r="S195" s="173" t="s">
        <v>103</v>
      </c>
      <c r="T195" s="194" t="s">
        <v>155</v>
      </c>
      <c r="U195" s="194" t="s">
        <v>156</v>
      </c>
      <c r="V195" s="194" t="s">
        <v>157</v>
      </c>
      <c r="W195" s="194" t="s">
        <v>158</v>
      </c>
      <c r="X195" s="194" t="s">
        <v>159</v>
      </c>
      <c r="Y195" s="194" t="s">
        <v>160</v>
      </c>
      <c r="Z195" s="194" t="s">
        <v>161</v>
      </c>
      <c r="AA195" s="194" t="s">
        <v>162</v>
      </c>
      <c r="AB195" s="194" t="s">
        <v>163</v>
      </c>
      <c r="AC195" s="194" t="s">
        <v>164</v>
      </c>
      <c r="AD195" s="194" t="s">
        <v>165</v>
      </c>
      <c r="AE195" s="194" t="s">
        <v>166</v>
      </c>
      <c r="AF195" s="194" t="s">
        <v>167</v>
      </c>
      <c r="AG195" s="194" t="s">
        <v>168</v>
      </c>
      <c r="AH195" s="174" t="s">
        <v>169</v>
      </c>
      <c r="AI195" s="174" t="s">
        <v>179</v>
      </c>
    </row>
    <row r="196" spans="18:35" ht="12" customHeight="1" x14ac:dyDescent="0.2">
      <c r="R196" s="193"/>
      <c r="S196" s="137" t="s">
        <v>104</v>
      </c>
      <c r="T196" s="195">
        <v>239</v>
      </c>
      <c r="U196" s="195">
        <v>239</v>
      </c>
      <c r="V196" s="195">
        <v>150</v>
      </c>
      <c r="W196" s="195">
        <v>0</v>
      </c>
      <c r="X196" s="195">
        <v>250</v>
      </c>
      <c r="Y196" s="195">
        <v>200</v>
      </c>
      <c r="Z196" s="195">
        <v>150</v>
      </c>
      <c r="AA196" s="195">
        <v>85</v>
      </c>
      <c r="AB196" s="195">
        <v>225</v>
      </c>
      <c r="AC196" s="195">
        <v>60</v>
      </c>
      <c r="AD196" s="195">
        <v>100</v>
      </c>
      <c r="AE196" s="195">
        <v>55</v>
      </c>
      <c r="AF196" s="195">
        <v>0</v>
      </c>
      <c r="AG196" s="195">
        <v>300</v>
      </c>
      <c r="AH196" s="196">
        <v>120</v>
      </c>
      <c r="AI196" s="139">
        <f>SUM(T196:AH196)</f>
        <v>2173</v>
      </c>
    </row>
    <row r="197" spans="18:35" ht="12" customHeight="1" x14ac:dyDescent="0.2">
      <c r="R197" s="193"/>
      <c r="S197" s="140" t="s">
        <v>105</v>
      </c>
      <c r="T197" s="197">
        <v>345</v>
      </c>
      <c r="U197" s="197">
        <v>344</v>
      </c>
      <c r="V197" s="197">
        <v>150</v>
      </c>
      <c r="W197" s="197">
        <v>0</v>
      </c>
      <c r="X197" s="197">
        <v>250</v>
      </c>
      <c r="Y197" s="197">
        <v>250</v>
      </c>
      <c r="Z197" s="197">
        <v>150</v>
      </c>
      <c r="AA197" s="197">
        <v>100</v>
      </c>
      <c r="AB197" s="197">
        <v>250</v>
      </c>
      <c r="AC197" s="197">
        <v>60</v>
      </c>
      <c r="AD197" s="197">
        <v>100</v>
      </c>
      <c r="AE197" s="197">
        <v>100</v>
      </c>
      <c r="AF197" s="197">
        <v>0</v>
      </c>
      <c r="AG197" s="197">
        <v>350</v>
      </c>
      <c r="AH197" s="198">
        <v>120</v>
      </c>
      <c r="AI197" s="139">
        <f t="shared" ref="AI197:AI201" si="14">SUM(T197:AH197)</f>
        <v>2569</v>
      </c>
    </row>
    <row r="198" spans="18:35" ht="12" customHeight="1" x14ac:dyDescent="0.2">
      <c r="R198" s="193"/>
      <c r="S198" s="140" t="s">
        <v>106</v>
      </c>
      <c r="T198" s="197">
        <v>377</v>
      </c>
      <c r="U198" s="197">
        <v>377</v>
      </c>
      <c r="V198" s="197">
        <v>150</v>
      </c>
      <c r="W198" s="197">
        <v>120</v>
      </c>
      <c r="X198" s="197">
        <v>500</v>
      </c>
      <c r="Y198" s="197">
        <v>300</v>
      </c>
      <c r="Z198" s="197">
        <v>150</v>
      </c>
      <c r="AA198" s="197">
        <v>115</v>
      </c>
      <c r="AB198" s="197">
        <v>300</v>
      </c>
      <c r="AC198" s="197">
        <v>60</v>
      </c>
      <c r="AD198" s="197">
        <v>200</v>
      </c>
      <c r="AE198" s="197">
        <v>100</v>
      </c>
      <c r="AF198" s="197">
        <v>200</v>
      </c>
      <c r="AG198" s="197">
        <v>450</v>
      </c>
      <c r="AH198" s="198">
        <v>120</v>
      </c>
      <c r="AI198" s="139">
        <f t="shared" si="14"/>
        <v>3519</v>
      </c>
    </row>
    <row r="199" spans="18:35" ht="12" customHeight="1" x14ac:dyDescent="0.2">
      <c r="R199" s="193"/>
      <c r="S199" s="140" t="s">
        <v>107</v>
      </c>
      <c r="T199" s="197">
        <v>400</v>
      </c>
      <c r="U199" s="197">
        <v>400</v>
      </c>
      <c r="V199" s="197">
        <v>150</v>
      </c>
      <c r="W199" s="197">
        <v>150</v>
      </c>
      <c r="X199" s="197">
        <v>250</v>
      </c>
      <c r="Y199" s="197">
        <v>400</v>
      </c>
      <c r="Z199" s="197">
        <v>200</v>
      </c>
      <c r="AA199" s="197">
        <v>80</v>
      </c>
      <c r="AB199" s="197">
        <v>400</v>
      </c>
      <c r="AC199" s="197">
        <v>60</v>
      </c>
      <c r="AD199" s="197">
        <v>360</v>
      </c>
      <c r="AE199" s="197">
        <v>75</v>
      </c>
      <c r="AF199" s="197">
        <v>200</v>
      </c>
      <c r="AG199" s="197">
        <v>400</v>
      </c>
      <c r="AH199" s="198">
        <v>120</v>
      </c>
      <c r="AI199" s="139">
        <f t="shared" si="14"/>
        <v>3645</v>
      </c>
    </row>
    <row r="200" spans="18:35" ht="12" customHeight="1" x14ac:dyDescent="0.2">
      <c r="R200" s="193"/>
      <c r="S200" s="140" t="s">
        <v>108</v>
      </c>
      <c r="T200" s="197">
        <v>600</v>
      </c>
      <c r="U200" s="197">
        <v>600</v>
      </c>
      <c r="V200" s="197">
        <v>150</v>
      </c>
      <c r="W200" s="197">
        <v>240</v>
      </c>
      <c r="X200" s="197">
        <v>500</v>
      </c>
      <c r="Y200" s="197">
        <v>600</v>
      </c>
      <c r="Z200" s="197">
        <v>300</v>
      </c>
      <c r="AA200" s="197">
        <v>80</v>
      </c>
      <c r="AB200" s="197">
        <v>500</v>
      </c>
      <c r="AC200" s="197">
        <v>120</v>
      </c>
      <c r="AD200" s="197">
        <v>600</v>
      </c>
      <c r="AE200" s="197">
        <v>100</v>
      </c>
      <c r="AF200" s="197">
        <v>300</v>
      </c>
      <c r="AG200" s="197">
        <v>600</v>
      </c>
      <c r="AH200" s="198">
        <v>240</v>
      </c>
      <c r="AI200" s="139">
        <f t="shared" si="14"/>
        <v>5530</v>
      </c>
    </row>
    <row r="201" spans="18:35" ht="12" customHeight="1" thickBot="1" x14ac:dyDescent="0.25">
      <c r="R201" s="117"/>
      <c r="S201" s="142" t="s">
        <v>109</v>
      </c>
      <c r="T201" s="199">
        <v>700</v>
      </c>
      <c r="U201" s="199">
        <v>700</v>
      </c>
      <c r="V201" s="199">
        <v>150</v>
      </c>
      <c r="W201" s="199">
        <v>360</v>
      </c>
      <c r="X201" s="199">
        <v>500</v>
      </c>
      <c r="Y201" s="199">
        <v>600</v>
      </c>
      <c r="Z201" s="199">
        <v>300</v>
      </c>
      <c r="AA201" s="199">
        <v>100</v>
      </c>
      <c r="AB201" s="199">
        <v>600</v>
      </c>
      <c r="AC201" s="199">
        <v>120</v>
      </c>
      <c r="AD201" s="199">
        <v>720</v>
      </c>
      <c r="AE201" s="199">
        <v>150</v>
      </c>
      <c r="AF201" s="199">
        <v>300</v>
      </c>
      <c r="AG201" s="199">
        <v>800</v>
      </c>
      <c r="AH201" s="200">
        <v>240</v>
      </c>
      <c r="AI201" s="139">
        <f t="shared" si="14"/>
        <v>6340</v>
      </c>
    </row>
    <row r="202" spans="18:35" ht="12" customHeight="1" thickBot="1" x14ac:dyDescent="0.25">
      <c r="R202" s="117"/>
      <c r="S202" s="948" t="s">
        <v>110</v>
      </c>
      <c r="T202" s="949"/>
      <c r="U202" s="949"/>
      <c r="V202" s="949"/>
      <c r="W202" s="949"/>
      <c r="X202" s="949"/>
      <c r="Y202" s="949"/>
      <c r="Z202" s="949"/>
      <c r="AA202" s="949"/>
      <c r="AB202" s="949"/>
      <c r="AC202" s="949"/>
      <c r="AD202" s="949"/>
      <c r="AE202" s="949"/>
      <c r="AF202" s="949"/>
      <c r="AG202" s="949"/>
      <c r="AH202" s="949"/>
      <c r="AI202" s="950"/>
    </row>
    <row r="203" spans="18:35" ht="12" customHeight="1" x14ac:dyDescent="0.2">
      <c r="R203" s="117"/>
      <c r="AI203" s="2"/>
    </row>
    <row r="204" spans="18:35" ht="12" customHeight="1" x14ac:dyDescent="0.2">
      <c r="R204" s="2"/>
      <c r="S204" s="2"/>
      <c r="T204" s="2"/>
      <c r="U204" s="2"/>
      <c r="V204" s="2"/>
      <c r="W204" s="2"/>
      <c r="X204" s="2"/>
      <c r="Y204" s="2"/>
      <c r="Z204" s="2"/>
      <c r="AA204" s="2"/>
      <c r="AB204" s="2"/>
      <c r="AC204" s="2"/>
      <c r="AD204" s="2"/>
      <c r="AE204" s="2"/>
      <c r="AF204" s="2"/>
      <c r="AG204" s="2"/>
      <c r="AH204" s="2"/>
      <c r="AI204" s="2"/>
    </row>
    <row r="205" spans="18:35" ht="12" customHeight="1" thickBot="1" x14ac:dyDescent="0.25">
      <c r="R205" s="2"/>
      <c r="S205" s="2"/>
      <c r="T205" s="2"/>
      <c r="U205" s="2"/>
      <c r="V205" s="2"/>
      <c r="W205" s="2"/>
      <c r="X205" s="2"/>
      <c r="Y205" s="2"/>
      <c r="Z205" s="2"/>
      <c r="AA205" s="2"/>
      <c r="AB205" s="2"/>
      <c r="AC205" s="2"/>
      <c r="AD205" s="2"/>
      <c r="AE205" s="2"/>
      <c r="AF205" s="2"/>
      <c r="AG205" s="2"/>
      <c r="AH205" s="2"/>
      <c r="AI205" s="2"/>
    </row>
    <row r="206" spans="18:35" ht="12" customHeight="1" x14ac:dyDescent="0.2">
      <c r="R206" s="955" t="s">
        <v>171</v>
      </c>
      <c r="S206" s="956"/>
      <c r="T206" s="956"/>
      <c r="U206" s="956"/>
      <c r="V206" s="957"/>
      <c r="W206" s="2"/>
      <c r="X206" s="2"/>
      <c r="Y206" s="2"/>
      <c r="Z206" s="2"/>
      <c r="AA206" s="2"/>
      <c r="AB206" s="2"/>
      <c r="AC206" s="2"/>
      <c r="AD206" s="2"/>
      <c r="AE206" s="2"/>
      <c r="AF206" s="2"/>
      <c r="AG206" s="2"/>
      <c r="AH206" s="2"/>
      <c r="AI206" s="2"/>
    </row>
    <row r="207" spans="18:35" ht="12" customHeight="1" thickBot="1" x14ac:dyDescent="0.25">
      <c r="R207" s="958"/>
      <c r="S207" s="959"/>
      <c r="T207" s="959"/>
      <c r="U207" s="959"/>
      <c r="V207" s="960"/>
      <c r="W207" s="2"/>
      <c r="X207" s="2"/>
      <c r="Y207" s="2"/>
      <c r="Z207" s="2"/>
      <c r="AA207" s="2"/>
      <c r="AB207" s="2"/>
      <c r="AC207" s="2"/>
      <c r="AD207" s="2"/>
      <c r="AE207" s="2"/>
      <c r="AF207" s="2"/>
      <c r="AG207" s="2"/>
      <c r="AH207" s="2"/>
      <c r="AI207" s="2"/>
    </row>
    <row r="208" spans="18:35" ht="12" customHeight="1" x14ac:dyDescent="0.2">
      <c r="R208" s="310"/>
      <c r="S208" s="96"/>
      <c r="T208" s="473" t="s">
        <v>33</v>
      </c>
      <c r="U208" s="474"/>
      <c r="V208" s="311"/>
      <c r="W208" s="2"/>
      <c r="X208" s="2"/>
      <c r="Y208" s="2"/>
      <c r="Z208" s="2"/>
      <c r="AA208" s="2"/>
      <c r="AB208" s="2"/>
      <c r="AC208" s="2"/>
      <c r="AD208" s="2"/>
      <c r="AE208" s="2"/>
      <c r="AF208" s="2"/>
      <c r="AG208" s="2"/>
      <c r="AH208" s="2"/>
      <c r="AI208" s="2"/>
    </row>
    <row r="209" spans="18:35" ht="12" customHeight="1" thickBot="1" x14ac:dyDescent="0.25">
      <c r="R209" s="312" t="s">
        <v>121</v>
      </c>
      <c r="S209" s="99"/>
      <c r="T209" s="100" t="s">
        <v>122</v>
      </c>
      <c r="U209" s="100" t="s">
        <v>38</v>
      </c>
      <c r="V209" s="313" t="s">
        <v>123</v>
      </c>
      <c r="W209" s="2"/>
      <c r="X209" s="2"/>
      <c r="Y209" s="2"/>
      <c r="Z209" s="2"/>
      <c r="AA209" s="2"/>
      <c r="AB209" s="2"/>
      <c r="AC209" s="2"/>
      <c r="AD209" s="2"/>
      <c r="AE209" s="2"/>
      <c r="AF209" s="2"/>
      <c r="AG209" s="2"/>
      <c r="AH209" s="2"/>
      <c r="AI209" s="2"/>
    </row>
    <row r="210" spans="18:35" ht="12" customHeight="1" x14ac:dyDescent="0.2">
      <c r="R210" s="317" t="s">
        <v>172</v>
      </c>
      <c r="S210" s="22" t="s">
        <v>173</v>
      </c>
      <c r="T210" s="106">
        <v>1</v>
      </c>
      <c r="U210" s="167">
        <f>IF($G$15&lt;=400,T217,(IF($G$15&lt;=550,T218,(IF($G$15&lt;=700,T219,(IF($G$15&lt;=1000,T220,(IF($G$15&lt;=1500,T221,(IF($G$15&gt;1500,T222)))))))))))</f>
        <v>4000</v>
      </c>
      <c r="V210" s="315">
        <f>T210*U210</f>
        <v>4000</v>
      </c>
      <c r="W210" s="2"/>
      <c r="X210" s="2"/>
      <c r="Y210" s="2"/>
      <c r="Z210" s="2"/>
      <c r="AA210" s="2"/>
      <c r="AB210" s="2"/>
      <c r="AC210" s="2"/>
      <c r="AD210" s="2"/>
      <c r="AE210" s="2"/>
      <c r="AF210" s="2"/>
      <c r="AG210" s="2"/>
      <c r="AH210" s="2"/>
      <c r="AI210" s="2"/>
    </row>
    <row r="211" spans="18:35" ht="12" customHeight="1" x14ac:dyDescent="0.2">
      <c r="R211" s="317" t="s">
        <v>174</v>
      </c>
      <c r="S211" s="22" t="s">
        <v>175</v>
      </c>
      <c r="T211" s="106">
        <v>1</v>
      </c>
      <c r="U211" s="169">
        <f>IF($G$15&lt;=400,U217,(IF($G$15&lt;=550,U218,(IF($G$15&lt;=700,U219,(IF($G$15&lt;=1000,U220,(IF($G$15&lt;=1500,U221,(IF($G$15&gt;1500,U222)))))))))))</f>
        <v>300</v>
      </c>
      <c r="V211" s="316">
        <f>T211*U211</f>
        <v>300</v>
      </c>
      <c r="W211" s="2"/>
      <c r="X211" s="2"/>
      <c r="Y211" s="2"/>
      <c r="Z211" s="2"/>
      <c r="AA211" s="2"/>
      <c r="AB211" s="2"/>
      <c r="AC211" s="2"/>
      <c r="AD211" s="2"/>
      <c r="AE211" s="2"/>
      <c r="AF211" s="2"/>
      <c r="AG211" s="2"/>
      <c r="AH211" s="2"/>
      <c r="AI211" s="2"/>
    </row>
    <row r="212" spans="18:35" ht="12" customHeight="1" x14ac:dyDescent="0.2">
      <c r="R212" s="317"/>
      <c r="S212" s="22"/>
      <c r="T212" s="80"/>
      <c r="U212" s="80"/>
      <c r="V212" s="318"/>
      <c r="W212" s="2"/>
      <c r="X212" s="2"/>
      <c r="Y212" s="2"/>
      <c r="Z212" s="2"/>
      <c r="AA212" s="2"/>
      <c r="AB212" s="2"/>
      <c r="AC212" s="2"/>
      <c r="AD212" s="2"/>
      <c r="AE212" s="2"/>
      <c r="AF212" s="2"/>
      <c r="AG212" s="2"/>
      <c r="AH212" s="2"/>
      <c r="AI212" s="2"/>
    </row>
    <row r="213" spans="18:35" ht="12" customHeight="1" thickBot="1" x14ac:dyDescent="0.25">
      <c r="R213" s="319" t="s">
        <v>176</v>
      </c>
      <c r="S213" s="320"/>
      <c r="T213" s="321"/>
      <c r="U213" s="321"/>
      <c r="V213" s="322">
        <f>SUM(V210:V211)</f>
        <v>4300</v>
      </c>
      <c r="W213" s="2"/>
      <c r="X213" s="2"/>
      <c r="Y213" s="2"/>
      <c r="Z213" s="2"/>
      <c r="AA213" s="2"/>
      <c r="AB213" s="2"/>
      <c r="AC213" s="2"/>
      <c r="AD213" s="2"/>
      <c r="AE213" s="2"/>
      <c r="AF213" s="2"/>
      <c r="AG213" s="2"/>
      <c r="AH213" s="2"/>
      <c r="AI213" s="2"/>
    </row>
    <row r="214" spans="18:35" ht="12" customHeight="1" thickBot="1" x14ac:dyDescent="0.25">
      <c r="R214" s="2"/>
      <c r="S214" s="2"/>
      <c r="T214" s="2"/>
      <c r="U214" s="2"/>
      <c r="V214" s="2"/>
      <c r="W214" s="2"/>
      <c r="X214" s="2"/>
      <c r="Y214" s="2"/>
      <c r="Z214" s="2"/>
      <c r="AA214" s="2"/>
      <c r="AB214" s="2"/>
      <c r="AC214" s="2"/>
      <c r="AD214" s="2"/>
      <c r="AE214" s="2"/>
      <c r="AF214" s="2"/>
      <c r="AG214" s="2"/>
      <c r="AH214" s="2"/>
      <c r="AI214" s="2"/>
    </row>
    <row r="215" spans="18:35" ht="12" customHeight="1" thickBot="1" x14ac:dyDescent="0.25">
      <c r="R215" s="2"/>
      <c r="S215" s="945" t="s">
        <v>102</v>
      </c>
      <c r="T215" s="946"/>
      <c r="U215" s="946"/>
      <c r="V215" s="947"/>
      <c r="W215" s="2"/>
      <c r="X215" s="2"/>
      <c r="Y215" s="2"/>
      <c r="Z215" s="2"/>
      <c r="AA215" s="2"/>
      <c r="AB215" s="2"/>
      <c r="AC215" s="2"/>
      <c r="AD215" s="2"/>
      <c r="AE215" s="2"/>
      <c r="AF215" s="2"/>
      <c r="AG215" s="2"/>
      <c r="AH215" s="2"/>
      <c r="AI215" s="2"/>
    </row>
    <row r="216" spans="18:35" ht="12" customHeight="1" thickBot="1" x14ac:dyDescent="0.25">
      <c r="R216" s="2"/>
      <c r="S216" s="201" t="s">
        <v>103</v>
      </c>
      <c r="T216" s="194" t="s">
        <v>177</v>
      </c>
      <c r="U216" s="194" t="s">
        <v>178</v>
      </c>
      <c r="V216" s="174" t="s">
        <v>179</v>
      </c>
      <c r="W216" s="2"/>
      <c r="X216" s="2"/>
      <c r="Y216" s="2"/>
      <c r="Z216" s="2"/>
      <c r="AA216" s="2"/>
      <c r="AB216" s="2"/>
      <c r="AC216" s="2"/>
      <c r="AD216" s="2"/>
      <c r="AE216" s="2"/>
      <c r="AF216" s="2"/>
      <c r="AG216" s="2"/>
      <c r="AH216" s="2"/>
      <c r="AI216" s="2"/>
    </row>
    <row r="217" spans="18:35" ht="12" customHeight="1" x14ac:dyDescent="0.2">
      <c r="R217" s="2"/>
      <c r="S217" s="202" t="s">
        <v>104</v>
      </c>
      <c r="T217" s="203">
        <v>3500</v>
      </c>
      <c r="U217" s="204">
        <v>200</v>
      </c>
      <c r="V217" s="139">
        <f>SUM(T217:U217)</f>
        <v>3700</v>
      </c>
      <c r="W217" s="2"/>
      <c r="X217" s="2"/>
      <c r="Y217" s="2"/>
      <c r="Z217" s="2"/>
      <c r="AA217" s="2"/>
      <c r="AB217" s="2"/>
      <c r="AC217" s="2"/>
      <c r="AD217" s="2"/>
      <c r="AE217" s="2"/>
      <c r="AF217" s="2"/>
      <c r="AG217" s="2"/>
      <c r="AH217" s="2"/>
      <c r="AI217" s="2"/>
    </row>
    <row r="218" spans="18:35" ht="12" customHeight="1" x14ac:dyDescent="0.2">
      <c r="R218" s="2"/>
      <c r="S218" s="140" t="s">
        <v>105</v>
      </c>
      <c r="T218" s="141">
        <v>4000</v>
      </c>
      <c r="U218" s="197">
        <v>300</v>
      </c>
      <c r="V218" s="139">
        <f t="shared" ref="V218:V222" si="15">SUM(T218:U218)</f>
        <v>4300</v>
      </c>
      <c r="W218" s="2"/>
      <c r="X218" s="2"/>
      <c r="Y218" s="2"/>
      <c r="Z218" s="2"/>
      <c r="AA218" s="2"/>
      <c r="AB218" s="2"/>
      <c r="AC218" s="2"/>
      <c r="AD218" s="2"/>
      <c r="AE218" s="2"/>
      <c r="AF218" s="2"/>
      <c r="AG218" s="2"/>
      <c r="AH218" s="2"/>
      <c r="AI218" s="2"/>
    </row>
    <row r="219" spans="18:35" ht="12" customHeight="1" x14ac:dyDescent="0.2">
      <c r="R219" s="2"/>
      <c r="S219" s="140" t="s">
        <v>106</v>
      </c>
      <c r="T219" s="141">
        <v>4700</v>
      </c>
      <c r="U219" s="197">
        <v>400</v>
      </c>
      <c r="V219" s="139">
        <f t="shared" si="15"/>
        <v>5100</v>
      </c>
      <c r="W219" s="2"/>
      <c r="X219" s="2"/>
      <c r="Y219" s="2"/>
      <c r="Z219" s="2"/>
      <c r="AA219" s="2"/>
      <c r="AB219" s="2"/>
      <c r="AC219" s="2"/>
      <c r="AD219" s="2"/>
      <c r="AE219" s="2"/>
      <c r="AF219" s="2"/>
      <c r="AG219" s="2"/>
      <c r="AH219" s="2"/>
      <c r="AI219" s="2"/>
    </row>
    <row r="220" spans="18:35" ht="12" customHeight="1" x14ac:dyDescent="0.2">
      <c r="R220" s="2"/>
      <c r="S220" s="140" t="s">
        <v>107</v>
      </c>
      <c r="T220" s="141">
        <v>6000</v>
      </c>
      <c r="U220" s="197">
        <v>500</v>
      </c>
      <c r="V220" s="139">
        <f t="shared" si="15"/>
        <v>6500</v>
      </c>
      <c r="W220" s="2"/>
      <c r="X220" s="2"/>
      <c r="Y220" s="2"/>
      <c r="Z220" s="2"/>
      <c r="AA220" s="2"/>
      <c r="AB220" s="2"/>
      <c r="AC220" s="2"/>
      <c r="AD220" s="2"/>
      <c r="AE220" s="2"/>
      <c r="AF220" s="2"/>
      <c r="AG220" s="2"/>
      <c r="AH220" s="2"/>
      <c r="AI220" s="2"/>
    </row>
    <row r="221" spans="18:35" ht="12" customHeight="1" x14ac:dyDescent="0.2">
      <c r="R221" s="2"/>
      <c r="S221" s="140" t="s">
        <v>108</v>
      </c>
      <c r="T221" s="141">
        <v>7000</v>
      </c>
      <c r="U221" s="197">
        <v>600</v>
      </c>
      <c r="V221" s="139">
        <f t="shared" si="15"/>
        <v>7600</v>
      </c>
      <c r="W221" s="2"/>
      <c r="X221" s="2"/>
      <c r="Y221" s="2"/>
      <c r="Z221" s="2"/>
      <c r="AA221" s="2"/>
      <c r="AB221" s="2"/>
      <c r="AC221" s="2"/>
      <c r="AD221" s="2"/>
      <c r="AE221" s="2"/>
      <c r="AF221" s="2"/>
      <c r="AG221" s="2"/>
      <c r="AH221" s="2"/>
      <c r="AI221" s="2"/>
    </row>
    <row r="222" spans="18:35" ht="12" customHeight="1" thickBot="1" x14ac:dyDescent="0.25">
      <c r="R222" s="2"/>
      <c r="S222" s="142" t="s">
        <v>109</v>
      </c>
      <c r="T222" s="143">
        <v>10000</v>
      </c>
      <c r="U222" s="199">
        <v>800</v>
      </c>
      <c r="V222" s="144">
        <f t="shared" si="15"/>
        <v>10800</v>
      </c>
      <c r="W222" s="2"/>
      <c r="X222" s="2"/>
      <c r="Y222" s="2"/>
      <c r="Z222" s="2"/>
      <c r="AA222" s="2"/>
      <c r="AB222" s="2"/>
      <c r="AC222" s="2"/>
      <c r="AD222" s="2"/>
      <c r="AE222" s="2"/>
      <c r="AF222" s="2"/>
      <c r="AG222" s="2"/>
      <c r="AH222" s="2"/>
      <c r="AI222" s="2"/>
    </row>
    <row r="223" spans="18:35" ht="12" customHeight="1" thickBot="1" x14ac:dyDescent="0.25">
      <c r="R223" s="2"/>
      <c r="S223" s="948" t="s">
        <v>110</v>
      </c>
      <c r="T223" s="949"/>
      <c r="U223" s="949"/>
      <c r="V223" s="950"/>
      <c r="W223" s="2"/>
      <c r="X223" s="2"/>
      <c r="Y223" s="2"/>
      <c r="Z223" s="2"/>
      <c r="AA223" s="2"/>
      <c r="AB223" s="2"/>
      <c r="AC223" s="2"/>
      <c r="AD223" s="2"/>
      <c r="AE223" s="2"/>
      <c r="AF223" s="2"/>
      <c r="AG223" s="2"/>
      <c r="AH223" s="2"/>
      <c r="AI223" s="2"/>
    </row>
    <row r="224" spans="18:35" ht="12" customHeight="1" x14ac:dyDescent="0.2">
      <c r="R224" s="2"/>
      <c r="S224" s="2"/>
      <c r="T224" s="2"/>
      <c r="U224" s="2"/>
      <c r="V224" s="2"/>
      <c r="W224" s="2"/>
      <c r="X224" s="2"/>
      <c r="Y224" s="2"/>
      <c r="Z224" s="2"/>
      <c r="AA224" s="2"/>
      <c r="AB224" s="2"/>
      <c r="AC224" s="2"/>
      <c r="AD224" s="2"/>
      <c r="AE224" s="2"/>
      <c r="AF224" s="2"/>
      <c r="AG224" s="2"/>
      <c r="AH224" s="2"/>
      <c r="AI224" s="2"/>
    </row>
    <row r="225" spans="18:35" ht="12" customHeight="1" x14ac:dyDescent="0.2">
      <c r="R225" s="2"/>
      <c r="S225" s="2"/>
      <c r="T225" s="2"/>
      <c r="U225" s="2"/>
      <c r="V225" s="2"/>
      <c r="W225" s="2"/>
      <c r="X225" s="2"/>
      <c r="Y225" s="2"/>
      <c r="Z225" s="2"/>
      <c r="AA225" s="2"/>
      <c r="AB225" s="2"/>
      <c r="AC225" s="2"/>
      <c r="AD225" s="2"/>
      <c r="AE225" s="2"/>
      <c r="AF225" s="2"/>
      <c r="AG225" s="2"/>
      <c r="AH225" s="2"/>
      <c r="AI225" s="2"/>
    </row>
    <row r="226" spans="18:35" ht="12" customHeight="1" thickBot="1" x14ac:dyDescent="0.25">
      <c r="Y226" s="117"/>
      <c r="Z226" s="117"/>
      <c r="AA226" s="117"/>
      <c r="AB226" s="117"/>
      <c r="AC226" s="2"/>
      <c r="AD226" s="2"/>
      <c r="AE226" s="2"/>
      <c r="AF226" s="2"/>
      <c r="AG226" s="2"/>
      <c r="AH226" s="2"/>
      <c r="AI226" s="2"/>
    </row>
    <row r="227" spans="18:35" ht="12" customHeight="1" x14ac:dyDescent="0.2">
      <c r="R227" s="887" t="s">
        <v>348</v>
      </c>
      <c r="S227" s="888"/>
      <c r="T227" s="888"/>
      <c r="U227" s="888"/>
      <c r="V227" s="889"/>
      <c r="W227" s="117"/>
      <c r="X227" s="117"/>
      <c r="Y227" s="117"/>
      <c r="Z227" s="117"/>
      <c r="AA227" s="117"/>
      <c r="AB227" s="117"/>
      <c r="AC227" s="18"/>
      <c r="AD227" s="18"/>
    </row>
    <row r="228" spans="18:35" ht="12" customHeight="1" thickBot="1" x14ac:dyDescent="0.25">
      <c r="R228" s="890"/>
      <c r="S228" s="891"/>
      <c r="T228" s="891"/>
      <c r="U228" s="891"/>
      <c r="V228" s="892"/>
      <c r="W228" s="117"/>
      <c r="X228" s="117"/>
      <c r="Y228" s="117"/>
      <c r="Z228" s="117"/>
      <c r="AA228" s="117"/>
      <c r="AB228" s="117"/>
      <c r="AC228" s="18"/>
      <c r="AD228" s="18"/>
    </row>
    <row r="229" spans="18:35" ht="12" customHeight="1" x14ac:dyDescent="0.2">
      <c r="R229" s="310"/>
      <c r="S229" s="96"/>
      <c r="T229" s="473" t="s">
        <v>33</v>
      </c>
      <c r="U229" s="474"/>
      <c r="V229" s="311"/>
      <c r="W229" s="117"/>
      <c r="X229" s="117"/>
      <c r="Y229" s="117"/>
      <c r="Z229" s="117"/>
      <c r="AA229" s="117"/>
      <c r="AB229" s="117"/>
      <c r="AC229" s="18"/>
      <c r="AD229" s="18"/>
    </row>
    <row r="230" spans="18:35" ht="12" customHeight="1" thickBot="1" x14ac:dyDescent="0.25">
      <c r="R230" s="312" t="s">
        <v>121</v>
      </c>
      <c r="S230" s="99"/>
      <c r="T230" s="100" t="s">
        <v>122</v>
      </c>
      <c r="U230" s="100" t="s">
        <v>38</v>
      </c>
      <c r="V230" s="313" t="s">
        <v>123</v>
      </c>
      <c r="W230" s="117"/>
      <c r="X230" s="117"/>
      <c r="Y230" s="117"/>
      <c r="Z230" s="117"/>
      <c r="AA230" s="117"/>
      <c r="AB230" s="117"/>
      <c r="AC230" s="18"/>
    </row>
    <row r="231" spans="18:35" ht="12" customHeight="1" x14ac:dyDescent="0.2">
      <c r="R231" s="317" t="s">
        <v>349</v>
      </c>
      <c r="S231" s="22" t="s">
        <v>350</v>
      </c>
      <c r="T231" s="106">
        <v>1</v>
      </c>
      <c r="U231" s="167">
        <f>IF($G$15&lt;=400,T256,(IF($G$15&lt;=550,T257,(IF($G$15&lt;=700,T258,(IF($G$15&lt;=1000,T259,(IF($G$15&lt;=1500,T260,(IF($G$15&gt;1500,T261)))))))))))</f>
        <v>3000</v>
      </c>
      <c r="V231" s="315">
        <f>T231*U231</f>
        <v>3000</v>
      </c>
      <c r="W231" s="60" t="s">
        <v>41</v>
      </c>
      <c r="X231" s="117"/>
      <c r="Y231" s="117"/>
      <c r="Z231" s="117"/>
      <c r="AA231" s="117"/>
      <c r="AB231" s="117"/>
      <c r="AC231" s="18"/>
    </row>
    <row r="232" spans="18:35" ht="12" customHeight="1" x14ac:dyDescent="0.2">
      <c r="R232" s="317" t="s">
        <v>351</v>
      </c>
      <c r="S232" s="22" t="s">
        <v>352</v>
      </c>
      <c r="T232" s="106">
        <v>1</v>
      </c>
      <c r="U232" s="167">
        <f>IF($G$15&lt;=400,U256,(IF($G$15&lt;=550,U257,(IF($G$15&lt;=700,U258,(IF($G$15&lt;=1000,U259,(IF($G$15&lt;=1500,U260,(IF($G$15&gt;1500,U261)))))))))))</f>
        <v>1100</v>
      </c>
      <c r="V232" s="315">
        <f>T232*U232</f>
        <v>1100</v>
      </c>
      <c r="W232" s="18"/>
      <c r="X232" s="117"/>
      <c r="Y232" s="117"/>
      <c r="Z232" s="117"/>
      <c r="AA232" s="117"/>
      <c r="AB232" s="117"/>
      <c r="AC232" s="18"/>
    </row>
    <row r="233" spans="18:35" ht="12" customHeight="1" x14ac:dyDescent="0.2">
      <c r="R233" s="317" t="s">
        <v>353</v>
      </c>
      <c r="S233" s="22" t="s">
        <v>354</v>
      </c>
      <c r="T233" s="106">
        <v>1</v>
      </c>
      <c r="U233" s="167">
        <f>IF($G$15&lt;=400,V256,(IF($G$15&lt;=550,V257,(IF($G$15&lt;=700,V258,(IF($G$15&lt;=1000,V259,(IF($G$15&lt;=1500,V260,(IF($G$15&gt;1500,V261)))))))))))</f>
        <v>0</v>
      </c>
      <c r="V233" s="315">
        <f>T233*U233</f>
        <v>0</v>
      </c>
      <c r="W233" s="60" t="s">
        <v>36</v>
      </c>
      <c r="X233" s="117"/>
      <c r="Y233" s="117"/>
      <c r="Z233" s="117"/>
      <c r="AA233" s="117"/>
      <c r="AB233" s="117"/>
      <c r="AC233" s="18"/>
    </row>
    <row r="234" spans="18:35" ht="12" customHeight="1" x14ac:dyDescent="0.2">
      <c r="R234" s="317" t="s">
        <v>355</v>
      </c>
      <c r="S234" s="22" t="s">
        <v>356</v>
      </c>
      <c r="T234" s="106">
        <v>1</v>
      </c>
      <c r="U234" s="167">
        <f>IF($G$15&lt;=400,W256,(IF($G$15&lt;=550,W257,(IF($G$15&lt;=700,W258,(IF($G$15&lt;=1000,W259,(IF($G$15&lt;=1500,W260,(IF($G$15&gt;1500,W261)))))))))))</f>
        <v>250</v>
      </c>
      <c r="V234" s="315">
        <f>T234*U234</f>
        <v>250</v>
      </c>
      <c r="W234" s="60" t="s">
        <v>39</v>
      </c>
      <c r="X234" s="117"/>
      <c r="Y234" s="117"/>
      <c r="Z234" s="117"/>
      <c r="AA234" s="117"/>
      <c r="AB234" s="117"/>
      <c r="AC234" s="18"/>
      <c r="AD234" s="18"/>
    </row>
    <row r="235" spans="18:35" ht="12" customHeight="1" x14ac:dyDescent="0.2">
      <c r="R235" s="314" t="s">
        <v>357</v>
      </c>
      <c r="S235" s="22" t="s">
        <v>358</v>
      </c>
      <c r="T235" s="106">
        <v>1</v>
      </c>
      <c r="U235" s="169">
        <f>IF($G$15&lt;=400,X256,(IF($G$15&lt;=550,X257,(IF($G$15&lt;=700,X258,(IF($G$15&lt;=1000,X259,(IF($G$15&lt;=1500,X260,(IF($G$15&gt;1500,X261)))))))))))</f>
        <v>80</v>
      </c>
      <c r="V235" s="316">
        <f>T235*U235</f>
        <v>80</v>
      </c>
      <c r="W235" s="117"/>
      <c r="X235" s="117"/>
      <c r="Y235" s="117"/>
      <c r="Z235" s="117"/>
      <c r="AA235" s="117"/>
      <c r="AB235" s="117"/>
      <c r="AC235" s="18"/>
      <c r="AD235" s="18"/>
    </row>
    <row r="236" spans="18:35" ht="12" customHeight="1" x14ac:dyDescent="0.2">
      <c r="R236" s="317"/>
      <c r="S236" s="22"/>
      <c r="T236" s="80"/>
      <c r="U236" s="80"/>
      <c r="V236" s="318"/>
      <c r="W236" s="117"/>
      <c r="X236" s="117"/>
      <c r="Y236" s="117"/>
      <c r="Z236" s="117"/>
      <c r="AA236" s="117"/>
      <c r="AB236" s="117"/>
      <c r="AC236" s="18"/>
      <c r="AD236" s="18"/>
    </row>
    <row r="237" spans="18:35" ht="12" customHeight="1" thickBot="1" x14ac:dyDescent="0.25">
      <c r="R237" s="319" t="s">
        <v>359</v>
      </c>
      <c r="S237" s="320"/>
      <c r="T237" s="321"/>
      <c r="U237" s="321"/>
      <c r="V237" s="322">
        <f>SUM(V231:V235)</f>
        <v>4430</v>
      </c>
      <c r="W237" s="117"/>
      <c r="X237" s="117"/>
      <c r="Y237" s="76"/>
      <c r="Z237" s="76"/>
      <c r="AA237" s="76"/>
      <c r="AB237" s="76"/>
      <c r="AC237" s="18"/>
      <c r="AD237" s="18"/>
    </row>
    <row r="238" spans="18:35" ht="12" customHeight="1" thickBot="1" x14ac:dyDescent="0.25">
      <c r="R238" s="51"/>
      <c r="S238" s="51"/>
      <c r="T238" s="76"/>
      <c r="U238" s="76"/>
      <c r="V238" s="76"/>
      <c r="W238" s="76"/>
      <c r="X238" s="76"/>
      <c r="Y238" s="122"/>
      <c r="Z238" s="122"/>
      <c r="AA238" s="122"/>
      <c r="AB238" s="122"/>
      <c r="AC238" s="18"/>
      <c r="AD238" s="18"/>
    </row>
    <row r="239" spans="18:35" ht="12" customHeight="1" thickBot="1" x14ac:dyDescent="0.25">
      <c r="R239" s="945" t="s">
        <v>360</v>
      </c>
      <c r="S239" s="946"/>
      <c r="T239" s="946"/>
      <c r="U239" s="946"/>
      <c r="V239" s="946"/>
      <c r="W239" s="946"/>
      <c r="X239" s="947"/>
      <c r="Y239" s="122"/>
      <c r="Z239" s="122"/>
      <c r="AA239" s="122"/>
      <c r="AB239" s="122"/>
      <c r="AC239" s="18"/>
      <c r="AD239" s="18"/>
    </row>
    <row r="240" spans="18:35" ht="12" customHeight="1" thickBot="1" x14ac:dyDescent="0.25">
      <c r="R240" s="149" t="s">
        <v>23</v>
      </c>
      <c r="S240" s="150" t="s">
        <v>24</v>
      </c>
      <c r="T240" s="151"/>
      <c r="U240" s="151"/>
      <c r="V240" s="151"/>
      <c r="W240" s="151"/>
      <c r="X240" s="152"/>
      <c r="Y240" s="122"/>
      <c r="Z240" s="122"/>
      <c r="AA240" s="122"/>
      <c r="AB240" s="122"/>
      <c r="AC240" s="18"/>
      <c r="AD240" s="18"/>
    </row>
    <row r="241" spans="18:30" ht="12" customHeight="1" x14ac:dyDescent="0.2">
      <c r="R241" s="68">
        <v>1</v>
      </c>
      <c r="S241" s="153" t="s">
        <v>361</v>
      </c>
      <c r="T241" s="154"/>
      <c r="U241" s="154"/>
      <c r="V241" s="154"/>
      <c r="W241" s="154"/>
      <c r="X241" s="155"/>
      <c r="Y241" s="122"/>
      <c r="Z241" s="122"/>
      <c r="AA241" s="122"/>
      <c r="AB241" s="122"/>
      <c r="AC241" s="18"/>
      <c r="AD241" s="18"/>
    </row>
    <row r="242" spans="18:30" ht="12" customHeight="1" thickBot="1" x14ac:dyDescent="0.25">
      <c r="R242" s="71"/>
      <c r="S242" s="164" t="s">
        <v>362</v>
      </c>
      <c r="T242" s="170"/>
      <c r="U242" s="170"/>
      <c r="V242" s="170"/>
      <c r="W242" s="170"/>
      <c r="X242" s="171"/>
      <c r="Y242" s="122"/>
      <c r="Z242" s="122"/>
      <c r="AA242" s="122"/>
      <c r="AB242" s="122"/>
      <c r="AC242" s="18"/>
      <c r="AD242" s="18"/>
    </row>
    <row r="243" spans="18:30" ht="12" customHeight="1" thickBot="1" x14ac:dyDescent="0.25">
      <c r="R243" s="70"/>
      <c r="S243" s="156"/>
      <c r="T243" s="157"/>
      <c r="U243" s="157"/>
      <c r="V243" s="157"/>
      <c r="W243" s="157"/>
      <c r="X243" s="157"/>
      <c r="Y243" s="122"/>
      <c r="Z243" s="122"/>
      <c r="AA243" s="122"/>
      <c r="AB243" s="122"/>
      <c r="AC243" s="18"/>
      <c r="AD243" s="18"/>
    </row>
    <row r="244" spans="18:30" ht="12" customHeight="1" thickBot="1" x14ac:dyDescent="0.25">
      <c r="R244" s="18"/>
      <c r="S244" s="945" t="s">
        <v>102</v>
      </c>
      <c r="T244" s="946"/>
      <c r="U244" s="947"/>
      <c r="V244" s="122"/>
      <c r="W244" s="122"/>
      <c r="X244" s="122"/>
      <c r="Y244" s="117"/>
      <c r="Z244" s="117"/>
      <c r="AA244" s="117"/>
      <c r="AB244" s="117"/>
      <c r="AC244" s="117"/>
      <c r="AD244" s="117"/>
    </row>
    <row r="245" spans="18:30" ht="12" customHeight="1" thickBot="1" x14ac:dyDescent="0.25">
      <c r="R245" s="117"/>
      <c r="S245" s="173" t="s">
        <v>103</v>
      </c>
      <c r="T245" s="205">
        <v>2</v>
      </c>
      <c r="U245" s="174">
        <v>3</v>
      </c>
      <c r="V245" s="117"/>
      <c r="W245" s="117"/>
      <c r="X245" s="117"/>
      <c r="Y245" s="117"/>
      <c r="Z245" s="117"/>
      <c r="AA245" s="117"/>
      <c r="AB245" s="117"/>
      <c r="AC245" s="117"/>
      <c r="AD245" s="117"/>
    </row>
    <row r="246" spans="18:30" ht="12" customHeight="1" x14ac:dyDescent="0.2">
      <c r="R246" s="117"/>
      <c r="S246" s="176" t="s">
        <v>104</v>
      </c>
      <c r="T246" s="206">
        <v>200</v>
      </c>
      <c r="U246" s="207">
        <v>200</v>
      </c>
      <c r="V246" s="117"/>
      <c r="W246" s="117"/>
      <c r="X246" s="117"/>
      <c r="Y246" s="117"/>
      <c r="Z246" s="117"/>
      <c r="AA246" s="117"/>
      <c r="AB246" s="117"/>
      <c r="AC246" s="117"/>
      <c r="AD246" s="117"/>
    </row>
    <row r="247" spans="18:30" ht="12" customHeight="1" x14ac:dyDescent="0.2">
      <c r="R247" s="117"/>
      <c r="S247" s="179" t="s">
        <v>105</v>
      </c>
      <c r="T247" s="208">
        <v>250</v>
      </c>
      <c r="U247" s="180">
        <v>250</v>
      </c>
      <c r="V247" s="117"/>
      <c r="W247" s="117"/>
      <c r="X247" s="117"/>
      <c r="Y247" s="117"/>
      <c r="Z247" s="117"/>
      <c r="AA247" s="117"/>
      <c r="AB247" s="117"/>
      <c r="AC247" s="117"/>
      <c r="AD247" s="117"/>
    </row>
    <row r="248" spans="18:30" ht="12" customHeight="1" x14ac:dyDescent="0.2">
      <c r="R248" s="117"/>
      <c r="S248" s="179" t="s">
        <v>106</v>
      </c>
      <c r="T248" s="208">
        <v>300</v>
      </c>
      <c r="U248" s="180">
        <v>300</v>
      </c>
      <c r="V248" s="117"/>
      <c r="W248" s="117"/>
      <c r="X248" s="117"/>
      <c r="Y248" s="117"/>
      <c r="Z248" s="117"/>
      <c r="AA248" s="117"/>
      <c r="AB248" s="117"/>
      <c r="AC248" s="117"/>
      <c r="AD248" s="117"/>
    </row>
    <row r="249" spans="18:30" ht="12" customHeight="1" x14ac:dyDescent="0.2">
      <c r="R249" s="117"/>
      <c r="S249" s="179" t="s">
        <v>107</v>
      </c>
      <c r="T249" s="208">
        <v>300</v>
      </c>
      <c r="U249" s="180">
        <v>200</v>
      </c>
      <c r="V249" s="117"/>
      <c r="W249" s="117"/>
      <c r="X249" s="117"/>
      <c r="Y249" s="122"/>
      <c r="Z249" s="122"/>
      <c r="AA249" s="122"/>
      <c r="AB249" s="122"/>
      <c r="AC249" s="117"/>
      <c r="AD249" s="117"/>
    </row>
    <row r="250" spans="18:30" ht="12" customHeight="1" x14ac:dyDescent="0.2">
      <c r="R250" s="117"/>
      <c r="S250" s="179" t="s">
        <v>108</v>
      </c>
      <c r="T250" s="208">
        <v>300</v>
      </c>
      <c r="U250" s="180">
        <v>300</v>
      </c>
      <c r="V250" s="122"/>
      <c r="W250" s="122"/>
      <c r="X250" s="122"/>
      <c r="Y250" s="122"/>
      <c r="Z250" s="122"/>
      <c r="AA250" s="122"/>
      <c r="AB250" s="122"/>
      <c r="AC250" s="117"/>
      <c r="AD250" s="117"/>
    </row>
    <row r="251" spans="18:30" ht="12" customHeight="1" thickBot="1" x14ac:dyDescent="0.25">
      <c r="R251" s="117"/>
      <c r="S251" s="176" t="s">
        <v>109</v>
      </c>
      <c r="T251" s="209">
        <v>400</v>
      </c>
      <c r="U251" s="181">
        <v>300</v>
      </c>
      <c r="V251" s="122"/>
      <c r="W251" s="122"/>
      <c r="X251" s="122"/>
      <c r="Y251" s="122"/>
      <c r="Z251" s="122"/>
      <c r="AA251" s="122"/>
      <c r="AB251" s="122"/>
      <c r="AC251" s="117"/>
      <c r="AD251" s="117"/>
    </row>
    <row r="252" spans="18:30" ht="12" customHeight="1" thickBot="1" x14ac:dyDescent="0.25">
      <c r="R252" s="117"/>
      <c r="S252" s="948" t="s">
        <v>110</v>
      </c>
      <c r="T252" s="949"/>
      <c r="U252" s="950"/>
      <c r="V252" s="122"/>
      <c r="W252" s="122"/>
      <c r="X252" s="122"/>
      <c r="Y252" s="18"/>
      <c r="Z252" s="18"/>
      <c r="AA252" s="18"/>
      <c r="AB252" s="18"/>
      <c r="AC252" s="117"/>
      <c r="AD252" s="117"/>
    </row>
    <row r="253" spans="18:30" ht="12" customHeight="1" thickBot="1" x14ac:dyDescent="0.25"/>
    <row r="254" spans="18:30" ht="12" customHeight="1" thickBot="1" x14ac:dyDescent="0.25">
      <c r="S254" s="945" t="s">
        <v>102</v>
      </c>
      <c r="T254" s="946"/>
      <c r="U254" s="946"/>
      <c r="V254" s="946"/>
      <c r="W254" s="946"/>
      <c r="X254" s="946"/>
      <c r="Y254" s="947"/>
    </row>
    <row r="255" spans="18:30" ht="12" customHeight="1" thickBot="1" x14ac:dyDescent="0.25">
      <c r="S255" s="201" t="s">
        <v>103</v>
      </c>
      <c r="T255" s="194" t="s">
        <v>363</v>
      </c>
      <c r="U255" s="194" t="s">
        <v>364</v>
      </c>
      <c r="V255" s="194" t="s">
        <v>365</v>
      </c>
      <c r="W255" s="194" t="s">
        <v>366</v>
      </c>
      <c r="X255" s="194" t="s">
        <v>367</v>
      </c>
      <c r="Y255" s="174" t="s">
        <v>179</v>
      </c>
    </row>
    <row r="256" spans="18:30" ht="12" customHeight="1" x14ac:dyDescent="0.2">
      <c r="S256" s="202" t="s">
        <v>104</v>
      </c>
      <c r="T256" s="203">
        <v>3000</v>
      </c>
      <c r="U256" s="204">
        <v>900</v>
      </c>
      <c r="V256" s="204">
        <v>0</v>
      </c>
      <c r="W256" s="204">
        <v>200</v>
      </c>
      <c r="X256" s="204">
        <v>80</v>
      </c>
      <c r="Y256" s="139">
        <f>SUM(T256:X256)</f>
        <v>4180</v>
      </c>
    </row>
    <row r="257" spans="18:35" ht="12" customHeight="1" x14ac:dyDescent="0.2">
      <c r="S257" s="140" t="s">
        <v>105</v>
      </c>
      <c r="T257" s="141">
        <v>3000</v>
      </c>
      <c r="U257" s="197">
        <v>1100</v>
      </c>
      <c r="V257" s="197">
        <v>0</v>
      </c>
      <c r="W257" s="197">
        <v>250</v>
      </c>
      <c r="X257" s="197">
        <v>80</v>
      </c>
      <c r="Y257" s="139">
        <f t="shared" ref="Y257:Y261" si="16">SUM(T257:X257)</f>
        <v>4430</v>
      </c>
    </row>
    <row r="258" spans="18:35" ht="12" customHeight="1" x14ac:dyDescent="0.2">
      <c r="S258" s="140" t="s">
        <v>106</v>
      </c>
      <c r="T258" s="141">
        <v>3500</v>
      </c>
      <c r="U258" s="197">
        <v>1400</v>
      </c>
      <c r="V258" s="197">
        <v>0</v>
      </c>
      <c r="W258" s="197">
        <v>300</v>
      </c>
      <c r="X258" s="197">
        <v>80</v>
      </c>
      <c r="Y258" s="139">
        <f t="shared" si="16"/>
        <v>5280</v>
      </c>
    </row>
    <row r="259" spans="18:35" ht="12" customHeight="1" x14ac:dyDescent="0.2">
      <c r="S259" s="140" t="s">
        <v>107</v>
      </c>
      <c r="T259" s="141">
        <v>5000</v>
      </c>
      <c r="U259" s="197">
        <v>1200</v>
      </c>
      <c r="V259" s="197">
        <v>300</v>
      </c>
      <c r="W259" s="197">
        <v>400</v>
      </c>
      <c r="X259" s="197">
        <v>80</v>
      </c>
      <c r="Y259" s="139">
        <f t="shared" si="16"/>
        <v>6980</v>
      </c>
    </row>
    <row r="260" spans="18:35" ht="12" customHeight="1" x14ac:dyDescent="0.2">
      <c r="S260" s="140" t="s">
        <v>108</v>
      </c>
      <c r="T260" s="141">
        <v>7500</v>
      </c>
      <c r="U260" s="197">
        <v>1500</v>
      </c>
      <c r="V260" s="197">
        <v>300</v>
      </c>
      <c r="W260" s="197">
        <v>600</v>
      </c>
      <c r="X260" s="197">
        <v>80</v>
      </c>
      <c r="Y260" s="139">
        <f t="shared" si="16"/>
        <v>9980</v>
      </c>
    </row>
    <row r="261" spans="18:35" ht="12" customHeight="1" thickBot="1" x14ac:dyDescent="0.25">
      <c r="S261" s="142" t="s">
        <v>109</v>
      </c>
      <c r="T261" s="143">
        <v>10000</v>
      </c>
      <c r="U261" s="199">
        <v>1750</v>
      </c>
      <c r="V261" s="199">
        <v>400</v>
      </c>
      <c r="W261" s="199">
        <v>600</v>
      </c>
      <c r="X261" s="199">
        <v>80</v>
      </c>
      <c r="Y261" s="144">
        <f t="shared" si="16"/>
        <v>12830</v>
      </c>
    </row>
    <row r="262" spans="18:35" ht="12" customHeight="1" thickBot="1" x14ac:dyDescent="0.25">
      <c r="S262" s="948" t="s">
        <v>110</v>
      </c>
      <c r="T262" s="949"/>
      <c r="U262" s="949"/>
      <c r="V262" s="949"/>
      <c r="W262" s="949"/>
      <c r="X262" s="949"/>
      <c r="Y262" s="950"/>
    </row>
    <row r="263" spans="18:35" ht="12" customHeight="1" x14ac:dyDescent="0.2"/>
    <row r="264" spans="18:35" ht="12" customHeight="1" x14ac:dyDescent="0.2"/>
    <row r="265" spans="18:35" ht="12" customHeight="1" thickBot="1" x14ac:dyDescent="0.25"/>
    <row r="266" spans="18:35" ht="12" customHeight="1" x14ac:dyDescent="0.2">
      <c r="R266" s="887" t="s">
        <v>182</v>
      </c>
      <c r="S266" s="888"/>
      <c r="T266" s="888"/>
      <c r="U266" s="888"/>
      <c r="V266" s="889"/>
      <c r="W266" s="2"/>
      <c r="X266" s="2"/>
      <c r="Y266" s="2"/>
      <c r="Z266" s="2"/>
      <c r="AA266" s="2"/>
      <c r="AB266" s="2"/>
      <c r="AC266" s="117"/>
      <c r="AD266" s="2"/>
      <c r="AE266" s="2"/>
      <c r="AF266" s="2"/>
      <c r="AG266" s="2"/>
      <c r="AH266" s="2"/>
      <c r="AI266" s="2"/>
    </row>
    <row r="267" spans="18:35" ht="12" customHeight="1" thickBot="1" x14ac:dyDescent="0.25">
      <c r="R267" s="890"/>
      <c r="S267" s="891"/>
      <c r="T267" s="891"/>
      <c r="U267" s="891"/>
      <c r="V267" s="892"/>
      <c r="W267" s="2"/>
      <c r="X267" s="2"/>
      <c r="Y267" s="2"/>
      <c r="Z267" s="2"/>
      <c r="AA267" s="2"/>
      <c r="AB267" s="2"/>
      <c r="AC267" s="117"/>
      <c r="AD267" s="2"/>
      <c r="AE267" s="2"/>
      <c r="AF267" s="2"/>
      <c r="AG267" s="2"/>
      <c r="AH267" s="2"/>
      <c r="AI267" s="2"/>
    </row>
    <row r="268" spans="18:35" ht="12" customHeight="1" x14ac:dyDescent="0.2">
      <c r="R268" s="310"/>
      <c r="S268" s="96"/>
      <c r="T268" s="473" t="s">
        <v>33</v>
      </c>
      <c r="U268" s="474"/>
      <c r="V268" s="311"/>
      <c r="W268" s="2"/>
      <c r="X268" s="2"/>
      <c r="Y268" s="2"/>
      <c r="Z268" s="2"/>
      <c r="AA268" s="2"/>
      <c r="AB268" s="2"/>
      <c r="AC268" s="117"/>
      <c r="AD268" s="2"/>
      <c r="AE268" s="2"/>
      <c r="AF268" s="2"/>
      <c r="AG268" s="2"/>
      <c r="AH268" s="2"/>
      <c r="AI268" s="2"/>
    </row>
    <row r="269" spans="18:35" ht="12" customHeight="1" thickBot="1" x14ac:dyDescent="0.25">
      <c r="R269" s="312" t="s">
        <v>121</v>
      </c>
      <c r="S269" s="99"/>
      <c r="T269" s="100" t="s">
        <v>122</v>
      </c>
      <c r="U269" s="100" t="s">
        <v>38</v>
      </c>
      <c r="V269" s="313" t="s">
        <v>123</v>
      </c>
      <c r="W269" s="2"/>
      <c r="X269" s="2"/>
      <c r="Y269" s="2"/>
      <c r="Z269" s="2"/>
      <c r="AA269" s="2"/>
      <c r="AB269" s="2"/>
      <c r="AC269" s="2"/>
      <c r="AD269" s="2"/>
      <c r="AE269" s="2"/>
      <c r="AF269" s="2"/>
      <c r="AG269" s="2"/>
      <c r="AH269" s="2"/>
      <c r="AI269" s="2"/>
    </row>
    <row r="270" spans="18:35" ht="12" customHeight="1" x14ac:dyDescent="0.2">
      <c r="R270" s="376" t="s">
        <v>183</v>
      </c>
      <c r="S270" s="22" t="s">
        <v>96</v>
      </c>
      <c r="T270" s="211">
        <v>0</v>
      </c>
      <c r="U270" s="212" t="e">
        <v>#REF!</v>
      </c>
      <c r="V270" s="377" t="e">
        <f>T270*U270</f>
        <v>#REF!</v>
      </c>
      <c r="W270" s="214" t="s">
        <v>41</v>
      </c>
      <c r="X270" s="2"/>
      <c r="Y270" s="2"/>
      <c r="Z270" s="2"/>
      <c r="AA270" s="2"/>
      <c r="AB270" s="2"/>
      <c r="AC270" s="2"/>
      <c r="AD270" s="2"/>
      <c r="AE270" s="2"/>
      <c r="AF270" s="2"/>
      <c r="AG270" s="2"/>
      <c r="AH270" s="2"/>
      <c r="AI270" s="2"/>
    </row>
    <row r="271" spans="18:35" ht="12" customHeight="1" x14ac:dyDescent="0.2">
      <c r="R271" s="378" t="s">
        <v>184</v>
      </c>
      <c r="S271" s="22" t="s">
        <v>185</v>
      </c>
      <c r="T271" s="187">
        <v>1</v>
      </c>
      <c r="U271" s="80"/>
      <c r="V271" s="318">
        <f>(U272+U273+U274+U275+U276)*T271</f>
        <v>1925</v>
      </c>
      <c r="W271" s="214" t="s">
        <v>186</v>
      </c>
      <c r="X271" s="2"/>
      <c r="Y271" s="2"/>
      <c r="Z271" s="2"/>
      <c r="AA271" s="2"/>
      <c r="AB271" s="2"/>
      <c r="AC271" s="2"/>
      <c r="AD271" s="2"/>
      <c r="AE271" s="2"/>
      <c r="AF271" s="2"/>
      <c r="AG271" s="2"/>
      <c r="AH271" s="2"/>
      <c r="AI271" s="2"/>
    </row>
    <row r="272" spans="18:35" ht="12" customHeight="1" x14ac:dyDescent="0.2">
      <c r="R272" s="378" t="s">
        <v>187</v>
      </c>
      <c r="S272" s="22" t="s">
        <v>188</v>
      </c>
      <c r="T272" s="216"/>
      <c r="U272" s="80">
        <f>0.36*(3.5*$G$15)</f>
        <v>693</v>
      </c>
      <c r="V272" s="318"/>
      <c r="W272" s="168" t="s">
        <v>189</v>
      </c>
      <c r="X272" s="2"/>
      <c r="Y272" s="2"/>
      <c r="Z272" s="2"/>
      <c r="AA272" s="2"/>
      <c r="AB272" s="2"/>
      <c r="AC272" s="2"/>
      <c r="AD272" s="2"/>
      <c r="AE272" s="2"/>
      <c r="AF272" s="2"/>
      <c r="AG272" s="2"/>
      <c r="AH272" s="2"/>
      <c r="AI272" s="2"/>
    </row>
    <row r="273" spans="18:35" ht="12" customHeight="1" x14ac:dyDescent="0.2">
      <c r="R273" s="378" t="s">
        <v>190</v>
      </c>
      <c r="S273" s="22" t="s">
        <v>191</v>
      </c>
      <c r="T273" s="217"/>
      <c r="U273" s="80">
        <f>0.34*(3.5*$G$15)</f>
        <v>654.5</v>
      </c>
      <c r="V273" s="318"/>
      <c r="W273" s="168" t="s">
        <v>189</v>
      </c>
      <c r="X273" s="2"/>
      <c r="Y273" s="2"/>
      <c r="Z273" s="2"/>
      <c r="AA273" s="2"/>
      <c r="AB273" s="2"/>
      <c r="AC273" s="2"/>
      <c r="AD273" s="2"/>
      <c r="AE273" s="2"/>
      <c r="AF273" s="2"/>
      <c r="AG273" s="2"/>
      <c r="AH273" s="2"/>
      <c r="AI273" s="2"/>
    </row>
    <row r="274" spans="18:35" ht="12" customHeight="1" x14ac:dyDescent="0.2">
      <c r="R274" s="378" t="s">
        <v>192</v>
      </c>
      <c r="S274" s="22" t="s">
        <v>193</v>
      </c>
      <c r="T274" s="217"/>
      <c r="U274" s="80">
        <f>0.11*(3.5*$G$15)</f>
        <v>211.75</v>
      </c>
      <c r="V274" s="318"/>
      <c r="W274" s="168" t="s">
        <v>189</v>
      </c>
      <c r="X274" s="2"/>
      <c r="Y274" s="2"/>
      <c r="Z274" s="2"/>
      <c r="AA274" s="2"/>
      <c r="AB274" s="2"/>
      <c r="AC274" s="2"/>
      <c r="AD274" s="2"/>
      <c r="AE274" s="2"/>
      <c r="AF274" s="2"/>
      <c r="AG274" s="2"/>
      <c r="AH274" s="2"/>
      <c r="AI274" s="2"/>
    </row>
    <row r="275" spans="18:35" ht="12" customHeight="1" x14ac:dyDescent="0.2">
      <c r="R275" s="378" t="s">
        <v>194</v>
      </c>
      <c r="S275" s="22" t="s">
        <v>195</v>
      </c>
      <c r="T275" s="217"/>
      <c r="U275" s="80">
        <f>0.1*(3.5*$G$15)</f>
        <v>192.5</v>
      </c>
      <c r="V275" s="318"/>
      <c r="W275" s="168" t="s">
        <v>189</v>
      </c>
      <c r="X275" s="2"/>
      <c r="Y275" s="2"/>
      <c r="Z275" s="2"/>
      <c r="AA275" s="2"/>
      <c r="AB275" s="2"/>
      <c r="AC275" s="2"/>
      <c r="AD275" s="2"/>
      <c r="AE275" s="2"/>
      <c r="AF275" s="2"/>
      <c r="AG275" s="2"/>
      <c r="AH275" s="2"/>
      <c r="AI275" s="2"/>
    </row>
    <row r="276" spans="18:35" ht="12" customHeight="1" x14ac:dyDescent="0.2">
      <c r="R276" s="378" t="s">
        <v>196</v>
      </c>
      <c r="S276" s="22" t="s">
        <v>197</v>
      </c>
      <c r="T276" s="217"/>
      <c r="U276" s="80">
        <f>0.09*(3.5*$G$15)</f>
        <v>173.25</v>
      </c>
      <c r="V276" s="318"/>
      <c r="W276" s="168" t="s">
        <v>189</v>
      </c>
      <c r="X276" s="2"/>
      <c r="Y276" s="2"/>
      <c r="Z276" s="2"/>
      <c r="AA276" s="2"/>
      <c r="AB276" s="2"/>
      <c r="AC276" s="218"/>
      <c r="AD276" s="2"/>
      <c r="AE276" s="2"/>
      <c r="AF276" s="2"/>
      <c r="AG276" s="2"/>
      <c r="AH276" s="2"/>
      <c r="AI276" s="2"/>
    </row>
    <row r="277" spans="18:35" ht="12" customHeight="1" x14ac:dyDescent="0.2">
      <c r="R277" s="378" t="s">
        <v>98</v>
      </c>
      <c r="S277" s="22" t="s">
        <v>99</v>
      </c>
      <c r="T277" s="106">
        <v>1</v>
      </c>
      <c r="U277" s="167">
        <f>IF($G$15&lt;=400,T294,(IF($G$15&lt;=550,T295,(IF($G$15&lt;=700,T296,(IF($G$15&lt;=1000,T297,(IF($G$15&lt;=1500,T298,(IF($G$15&gt;1500,T299)))))))))))</f>
        <v>75</v>
      </c>
      <c r="V277" s="315">
        <f>T277*U277</f>
        <v>75</v>
      </c>
      <c r="W277" s="2"/>
      <c r="X277" s="2"/>
      <c r="Y277" s="2"/>
      <c r="Z277" s="2"/>
      <c r="AA277" s="2"/>
      <c r="AB277" s="2"/>
      <c r="AC277" s="218"/>
      <c r="AD277" s="2"/>
      <c r="AE277" s="2"/>
      <c r="AF277" s="2"/>
      <c r="AG277" s="2"/>
      <c r="AH277" s="2"/>
      <c r="AI277" s="2"/>
    </row>
    <row r="278" spans="18:35" ht="12" customHeight="1" x14ac:dyDescent="0.2">
      <c r="R278" s="378" t="s">
        <v>100</v>
      </c>
      <c r="S278" s="22" t="s">
        <v>101</v>
      </c>
      <c r="T278" s="106">
        <v>1</v>
      </c>
      <c r="U278" s="169">
        <f>IF($G$15&lt;=400,U294,(IF($G$15&lt;=550,U295,(IF($G$15&lt;=700,U296,(IF($G$15&lt;=1000,U297,(IF($G$15&lt;=1500,U298,(IF($G$15&gt;1500,U299)))))))))))</f>
        <v>140</v>
      </c>
      <c r="V278" s="316">
        <f>T278*U278</f>
        <v>140</v>
      </c>
      <c r="W278" s="2"/>
      <c r="X278" s="2"/>
      <c r="Y278" s="2"/>
      <c r="Z278" s="2"/>
      <c r="AA278" s="2"/>
      <c r="AB278" s="2"/>
      <c r="AC278" s="218"/>
      <c r="AD278" s="2"/>
      <c r="AE278" s="2"/>
      <c r="AF278" s="2"/>
      <c r="AG278" s="2"/>
      <c r="AH278" s="2"/>
      <c r="AI278" s="2"/>
    </row>
    <row r="279" spans="18:35" ht="12" customHeight="1" x14ac:dyDescent="0.2">
      <c r="R279" s="378"/>
      <c r="S279" s="22"/>
      <c r="T279" s="80"/>
      <c r="U279" s="80"/>
      <c r="V279" s="318"/>
      <c r="W279" s="2"/>
      <c r="X279" s="2"/>
      <c r="Y279" s="2"/>
      <c r="Z279" s="2"/>
      <c r="AA279" s="2"/>
      <c r="AB279" s="2"/>
      <c r="AC279" s="117"/>
      <c r="AD279" s="2"/>
      <c r="AE279" s="2"/>
      <c r="AF279" s="2"/>
      <c r="AG279" s="2"/>
      <c r="AH279" s="2"/>
      <c r="AI279" s="2"/>
    </row>
    <row r="280" spans="18:35" ht="12" customHeight="1" thickBot="1" x14ac:dyDescent="0.25">
      <c r="R280" s="379" t="s">
        <v>198</v>
      </c>
      <c r="S280" s="320"/>
      <c r="T280" s="321"/>
      <c r="U280" s="321"/>
      <c r="V280" s="322" t="e">
        <f>SUM(V270:V278)</f>
        <v>#REF!</v>
      </c>
      <c r="W280" s="2"/>
      <c r="X280" s="2"/>
      <c r="Y280" s="2"/>
      <c r="Z280" s="2"/>
      <c r="AA280" s="2"/>
      <c r="AB280" s="2"/>
      <c r="AC280" s="2"/>
      <c r="AD280" s="2"/>
      <c r="AE280" s="2"/>
      <c r="AF280" s="2"/>
      <c r="AG280" s="2"/>
      <c r="AH280" s="2"/>
      <c r="AI280" s="2"/>
    </row>
    <row r="281" spans="18:35" ht="12" customHeight="1" thickBot="1" x14ac:dyDescent="0.25">
      <c r="R281" s="2"/>
      <c r="S281" s="2"/>
      <c r="T281" s="2"/>
      <c r="U281" s="2"/>
      <c r="V281" s="2"/>
      <c r="W281" s="2"/>
      <c r="X281" s="2"/>
      <c r="Y281" s="2"/>
      <c r="Z281" s="2"/>
      <c r="AA281" s="2"/>
      <c r="AB281" s="2"/>
      <c r="AC281" s="2"/>
      <c r="AD281" s="2"/>
      <c r="AE281" s="2"/>
      <c r="AF281" s="2"/>
      <c r="AG281" s="2"/>
      <c r="AH281" s="2"/>
      <c r="AI281" s="2"/>
    </row>
    <row r="282" spans="18:35" ht="12" customHeight="1" thickBot="1" x14ac:dyDescent="0.25">
      <c r="R282" s="2"/>
      <c r="S282" s="945" t="s">
        <v>200</v>
      </c>
      <c r="T282" s="946"/>
      <c r="U282" s="946"/>
      <c r="V282" s="946"/>
      <c r="W282" s="946"/>
      <c r="X282" s="947"/>
      <c r="Y282" s="2"/>
      <c r="Z282" s="2"/>
      <c r="AA282" s="2"/>
      <c r="AB282" s="2"/>
      <c r="AC282" s="2"/>
      <c r="AD282" s="2"/>
      <c r="AE282" s="2"/>
      <c r="AF282" s="2"/>
      <c r="AG282" s="2"/>
      <c r="AH282" s="2"/>
      <c r="AI282" s="2"/>
    </row>
    <row r="283" spans="18:35" ht="12" customHeight="1" thickBot="1" x14ac:dyDescent="0.25">
      <c r="R283" s="2"/>
      <c r="S283" s="173" t="s">
        <v>88</v>
      </c>
      <c r="T283" s="194" t="s">
        <v>89</v>
      </c>
      <c r="U283" s="194" t="s">
        <v>90</v>
      </c>
      <c r="V283" s="194" t="s">
        <v>91</v>
      </c>
      <c r="W283" s="205" t="s">
        <v>92</v>
      </c>
      <c r="X283" s="174" t="s">
        <v>93</v>
      </c>
      <c r="Y283" s="2"/>
      <c r="Z283" s="2"/>
      <c r="AA283" s="2"/>
      <c r="AB283" s="2"/>
      <c r="AC283" s="2"/>
      <c r="AD283" s="2"/>
      <c r="AE283" s="2"/>
      <c r="AF283" s="2"/>
      <c r="AG283" s="2"/>
      <c r="AH283" s="2"/>
      <c r="AI283" s="2"/>
    </row>
    <row r="284" spans="18:35" ht="12" customHeight="1" x14ac:dyDescent="0.2">
      <c r="R284" s="2"/>
      <c r="S284" s="176" t="s">
        <v>94</v>
      </c>
      <c r="T284" s="220" t="s">
        <v>89</v>
      </c>
      <c r="U284" s="221" t="s">
        <v>92</v>
      </c>
      <c r="V284" s="222">
        <v>3.5</v>
      </c>
      <c r="W284" s="206" t="s">
        <v>92</v>
      </c>
      <c r="X284" s="223">
        <v>0.36</v>
      </c>
      <c r="Y284" s="2"/>
      <c r="Z284" s="2"/>
      <c r="AA284" s="2"/>
      <c r="AB284" s="2"/>
      <c r="AC284" s="2"/>
      <c r="AD284" s="2"/>
      <c r="AE284" s="2"/>
      <c r="AF284" s="2"/>
      <c r="AG284" s="2"/>
      <c r="AH284" s="2"/>
      <c r="AI284" s="2"/>
    </row>
    <row r="285" spans="18:35" ht="12" customHeight="1" x14ac:dyDescent="0.2">
      <c r="R285" s="2"/>
      <c r="S285" s="179" t="s">
        <v>722</v>
      </c>
      <c r="T285" s="221" t="s">
        <v>89</v>
      </c>
      <c r="U285" s="221" t="s">
        <v>92</v>
      </c>
      <c r="V285" s="222">
        <v>3.5</v>
      </c>
      <c r="W285" s="206" t="s">
        <v>92</v>
      </c>
      <c r="X285" s="224">
        <v>0.34</v>
      </c>
      <c r="Y285" s="2"/>
      <c r="Z285" s="2"/>
      <c r="AA285" s="2"/>
      <c r="AB285" s="2"/>
      <c r="AC285" s="2"/>
      <c r="AD285" s="2"/>
      <c r="AE285" s="2"/>
      <c r="AF285" s="2"/>
      <c r="AG285" s="2"/>
      <c r="AH285" s="2"/>
      <c r="AI285" s="2"/>
    </row>
    <row r="286" spans="18:35" ht="12" customHeight="1" x14ac:dyDescent="0.2">
      <c r="R286" s="2"/>
      <c r="S286" s="179" t="s">
        <v>95</v>
      </c>
      <c r="T286" s="221" t="s">
        <v>89</v>
      </c>
      <c r="U286" s="221" t="s">
        <v>92</v>
      </c>
      <c r="V286" s="222">
        <v>3.5</v>
      </c>
      <c r="W286" s="206" t="s">
        <v>92</v>
      </c>
      <c r="X286" s="224">
        <v>0.11</v>
      </c>
      <c r="Y286" s="2"/>
      <c r="Z286" s="2"/>
      <c r="AA286" s="2"/>
      <c r="AB286" s="2"/>
      <c r="AC286" s="2"/>
      <c r="AD286" s="2"/>
      <c r="AE286" s="2"/>
      <c r="AF286" s="2"/>
      <c r="AG286" s="2"/>
      <c r="AH286" s="2"/>
      <c r="AI286" s="2"/>
    </row>
    <row r="287" spans="18:35" ht="12" customHeight="1" x14ac:dyDescent="0.2">
      <c r="R287" s="2"/>
      <c r="S287" s="179" t="s">
        <v>720</v>
      </c>
      <c r="T287" s="221" t="s">
        <v>89</v>
      </c>
      <c r="U287" s="221" t="s">
        <v>92</v>
      </c>
      <c r="V287" s="222">
        <v>3.5</v>
      </c>
      <c r="W287" s="206" t="s">
        <v>92</v>
      </c>
      <c r="X287" s="224">
        <v>0.1</v>
      </c>
      <c r="Y287" s="2"/>
      <c r="Z287" s="2"/>
      <c r="AA287" s="2"/>
      <c r="AB287" s="2"/>
      <c r="AC287" s="2"/>
      <c r="AD287" s="2"/>
      <c r="AE287" s="2"/>
      <c r="AF287" s="2"/>
      <c r="AG287" s="2"/>
      <c r="AH287" s="2"/>
      <c r="AI287" s="2"/>
    </row>
    <row r="288" spans="18:35" ht="12" customHeight="1" x14ac:dyDescent="0.2">
      <c r="R288" s="2"/>
      <c r="S288" s="179" t="s">
        <v>721</v>
      </c>
      <c r="T288" s="221" t="s">
        <v>89</v>
      </c>
      <c r="U288" s="221" t="s">
        <v>92</v>
      </c>
      <c r="V288" s="222">
        <v>3.5</v>
      </c>
      <c r="W288" s="206" t="s">
        <v>92</v>
      </c>
      <c r="X288" s="224">
        <v>0.09</v>
      </c>
      <c r="Y288" s="2"/>
      <c r="Z288" s="2"/>
      <c r="AA288" s="2"/>
      <c r="AB288" s="2"/>
      <c r="AC288" s="2"/>
      <c r="AD288" s="2"/>
      <c r="AE288" s="2"/>
      <c r="AF288" s="2"/>
      <c r="AG288" s="2"/>
      <c r="AH288" s="2"/>
      <c r="AI288" s="2"/>
    </row>
    <row r="289" spans="18:33" ht="12" customHeight="1" thickBot="1" x14ac:dyDescent="0.25">
      <c r="R289" s="2"/>
      <c r="S289" s="176" t="s">
        <v>96</v>
      </c>
      <c r="T289" s="221" t="s">
        <v>89</v>
      </c>
      <c r="U289" s="221" t="s">
        <v>92</v>
      </c>
      <c r="V289" s="222">
        <v>2</v>
      </c>
      <c r="W289" s="206"/>
      <c r="X289" s="225"/>
      <c r="Y289" s="2"/>
      <c r="Z289" s="2"/>
      <c r="AA289" s="2"/>
      <c r="AB289" s="2"/>
      <c r="AC289" s="2"/>
      <c r="AD289" s="2"/>
      <c r="AE289" s="2"/>
      <c r="AF289" s="2"/>
      <c r="AG289" s="2"/>
    </row>
    <row r="290" spans="18:33" ht="12" customHeight="1" thickBot="1" x14ac:dyDescent="0.25">
      <c r="R290" s="2"/>
      <c r="S290" s="948" t="s">
        <v>97</v>
      </c>
      <c r="T290" s="949"/>
      <c r="U290" s="949"/>
      <c r="V290" s="949"/>
      <c r="W290" s="949"/>
      <c r="X290" s="950"/>
      <c r="Y290" s="2"/>
      <c r="Z290" s="2"/>
      <c r="AA290" s="2"/>
      <c r="AB290" s="2"/>
      <c r="AC290" s="2"/>
      <c r="AD290" s="2"/>
      <c r="AE290" s="2"/>
      <c r="AF290" s="2"/>
      <c r="AG290" s="2"/>
    </row>
    <row r="291" spans="18:33" ht="12" customHeight="1" thickBot="1" x14ac:dyDescent="0.25">
      <c r="R291" s="2"/>
      <c r="S291" s="2"/>
      <c r="T291" s="2"/>
      <c r="U291" s="2"/>
      <c r="V291" s="2"/>
      <c r="W291" s="2"/>
      <c r="X291" s="2"/>
      <c r="Y291" s="2"/>
      <c r="Z291" s="2"/>
      <c r="AA291" s="2"/>
      <c r="AB291" s="2"/>
      <c r="AC291" s="2"/>
      <c r="AD291" s="2"/>
      <c r="AE291" s="2"/>
      <c r="AF291" s="2"/>
      <c r="AG291" s="2"/>
    </row>
    <row r="292" spans="18:33" ht="12" customHeight="1" thickBot="1" x14ac:dyDescent="0.25">
      <c r="R292" s="2"/>
      <c r="S292" s="945" t="s">
        <v>102</v>
      </c>
      <c r="T292" s="946"/>
      <c r="U292" s="946"/>
      <c r="V292" s="947"/>
      <c r="W292" s="2"/>
      <c r="X292" s="2"/>
      <c r="Y292" s="2"/>
      <c r="Z292" s="2"/>
      <c r="AA292" s="2"/>
      <c r="AB292" s="2"/>
      <c r="AC292" s="2"/>
      <c r="AD292" s="2"/>
      <c r="AE292" s="2"/>
      <c r="AF292" s="2"/>
      <c r="AG292" s="2"/>
    </row>
    <row r="293" spans="18:33" ht="12" customHeight="1" thickBot="1" x14ac:dyDescent="0.25">
      <c r="R293" s="2"/>
      <c r="S293" s="201" t="s">
        <v>103</v>
      </c>
      <c r="T293" s="194" t="s">
        <v>719</v>
      </c>
      <c r="U293" s="174" t="s">
        <v>199</v>
      </c>
      <c r="V293" s="174" t="s">
        <v>179</v>
      </c>
      <c r="W293" s="2"/>
      <c r="X293" s="2"/>
      <c r="Y293" s="2"/>
      <c r="Z293" s="2"/>
      <c r="AA293" s="2"/>
      <c r="AB293" s="2"/>
      <c r="AC293" s="2"/>
      <c r="AD293" s="2"/>
      <c r="AE293" s="2"/>
      <c r="AF293" s="2"/>
      <c r="AG293" s="2"/>
    </row>
    <row r="294" spans="18:33" ht="12" customHeight="1" x14ac:dyDescent="0.2">
      <c r="R294" s="2"/>
      <c r="S294" s="202" t="s">
        <v>104</v>
      </c>
      <c r="T294" s="203">
        <v>75</v>
      </c>
      <c r="U294" s="195">
        <v>140</v>
      </c>
      <c r="V294" s="226">
        <f>SUM(T294:U294)</f>
        <v>215</v>
      </c>
      <c r="W294" s="2"/>
      <c r="X294" s="2"/>
      <c r="Y294" s="2"/>
      <c r="Z294" s="2"/>
      <c r="AA294" s="2"/>
      <c r="AB294" s="2"/>
      <c r="AC294" s="2"/>
      <c r="AD294" s="2"/>
      <c r="AE294" s="2"/>
      <c r="AF294" s="2"/>
      <c r="AG294" s="2"/>
    </row>
    <row r="295" spans="18:33" ht="12" customHeight="1" x14ac:dyDescent="0.2">
      <c r="R295" s="2"/>
      <c r="S295" s="140" t="s">
        <v>105</v>
      </c>
      <c r="T295" s="141">
        <v>75</v>
      </c>
      <c r="U295" s="197">
        <v>140</v>
      </c>
      <c r="V295" s="139">
        <f t="shared" ref="V295:V299" si="17">SUM(T295:U295)</f>
        <v>215</v>
      </c>
      <c r="W295" s="2"/>
      <c r="X295" s="2"/>
      <c r="Y295" s="2"/>
      <c r="Z295" s="2"/>
      <c r="AA295" s="2"/>
      <c r="AB295" s="2"/>
      <c r="AC295" s="2"/>
      <c r="AD295" s="2"/>
      <c r="AE295" s="2"/>
    </row>
    <row r="296" spans="18:33" ht="12" customHeight="1" x14ac:dyDescent="0.2">
      <c r="R296" s="2"/>
      <c r="S296" s="140" t="s">
        <v>106</v>
      </c>
      <c r="T296" s="141">
        <v>75</v>
      </c>
      <c r="U296" s="197">
        <v>140</v>
      </c>
      <c r="V296" s="139">
        <f t="shared" si="17"/>
        <v>215</v>
      </c>
      <c r="W296" s="2"/>
      <c r="X296" s="2"/>
      <c r="Y296" s="2"/>
      <c r="Z296" s="2"/>
      <c r="AA296" s="2"/>
      <c r="AB296" s="2"/>
      <c r="AC296" s="2"/>
      <c r="AD296" s="2"/>
      <c r="AE296" s="2"/>
    </row>
    <row r="297" spans="18:33" ht="12" customHeight="1" x14ac:dyDescent="0.2">
      <c r="R297" s="2"/>
      <c r="S297" s="140" t="s">
        <v>107</v>
      </c>
      <c r="T297" s="141">
        <v>75</v>
      </c>
      <c r="U297" s="197">
        <v>280</v>
      </c>
      <c r="V297" s="139">
        <f t="shared" si="17"/>
        <v>355</v>
      </c>
      <c r="W297" s="2"/>
      <c r="X297" s="2"/>
      <c r="Y297" s="2"/>
      <c r="Z297" s="2"/>
      <c r="AA297" s="2"/>
      <c r="AB297" s="2"/>
      <c r="AC297" s="2"/>
      <c r="AD297" s="2"/>
      <c r="AE297" s="2"/>
    </row>
    <row r="298" spans="18:33" ht="12" customHeight="1" x14ac:dyDescent="0.2">
      <c r="R298" s="2"/>
      <c r="S298" s="140" t="s">
        <v>108</v>
      </c>
      <c r="T298" s="141">
        <v>75</v>
      </c>
      <c r="U298" s="197">
        <v>280</v>
      </c>
      <c r="V298" s="139">
        <f t="shared" si="17"/>
        <v>355</v>
      </c>
      <c r="W298" s="2"/>
      <c r="X298" s="2"/>
      <c r="Y298" s="2"/>
      <c r="Z298" s="2"/>
      <c r="AA298" s="2"/>
      <c r="AB298" s="2"/>
      <c r="AC298" s="2"/>
      <c r="AD298" s="2"/>
      <c r="AE298" s="2"/>
    </row>
    <row r="299" spans="18:33" ht="12" customHeight="1" thickBot="1" x14ac:dyDescent="0.25">
      <c r="R299" s="2"/>
      <c r="S299" s="142" t="s">
        <v>109</v>
      </c>
      <c r="T299" s="143">
        <v>75</v>
      </c>
      <c r="U299" s="199">
        <v>280</v>
      </c>
      <c r="V299" s="144">
        <f t="shared" si="17"/>
        <v>355</v>
      </c>
      <c r="W299" s="2"/>
      <c r="X299" s="2"/>
      <c r="Y299" s="2"/>
      <c r="Z299" s="2"/>
      <c r="AA299" s="2"/>
      <c r="AB299" s="2"/>
      <c r="AC299" s="2"/>
      <c r="AD299" s="2"/>
      <c r="AE299" s="2"/>
    </row>
    <row r="300" spans="18:33" ht="12" customHeight="1" thickBot="1" x14ac:dyDescent="0.25">
      <c r="R300" s="2"/>
      <c r="S300" s="948" t="s">
        <v>110</v>
      </c>
      <c r="T300" s="949"/>
      <c r="U300" s="949"/>
      <c r="V300" s="950"/>
      <c r="W300" s="2"/>
      <c r="X300" s="2"/>
      <c r="Y300" s="2"/>
      <c r="Z300" s="2"/>
      <c r="AA300" s="2"/>
      <c r="AB300" s="2"/>
      <c r="AC300" s="2"/>
      <c r="AD300" s="2"/>
      <c r="AE300" s="2"/>
    </row>
    <row r="301" spans="18:33" ht="12" customHeight="1" x14ac:dyDescent="0.2">
      <c r="R301" s="2"/>
      <c r="S301" s="2"/>
      <c r="T301" s="2"/>
      <c r="U301" s="2"/>
      <c r="V301" s="2"/>
      <c r="W301" s="2"/>
      <c r="X301" s="2"/>
      <c r="Y301" s="2"/>
    </row>
    <row r="302" spans="18:33" ht="12" customHeight="1" thickBot="1" x14ac:dyDescent="0.25">
      <c r="R302" s="2"/>
      <c r="S302" s="2"/>
      <c r="T302" s="2"/>
      <c r="U302" s="2"/>
      <c r="V302" s="2"/>
      <c r="W302" s="2"/>
      <c r="X302" s="2"/>
      <c r="Y302" s="2"/>
    </row>
    <row r="303" spans="18:33" ht="12" customHeight="1" x14ac:dyDescent="0.2">
      <c r="R303" s="887" t="s">
        <v>201</v>
      </c>
      <c r="S303" s="888"/>
      <c r="T303" s="888"/>
      <c r="U303" s="888"/>
      <c r="V303" s="889"/>
      <c r="W303" s="2"/>
      <c r="X303" s="2"/>
      <c r="Y303" s="2"/>
    </row>
    <row r="304" spans="18:33" ht="12" customHeight="1" thickBot="1" x14ac:dyDescent="0.25">
      <c r="R304" s="890"/>
      <c r="S304" s="891"/>
      <c r="T304" s="891"/>
      <c r="U304" s="891"/>
      <c r="V304" s="892"/>
      <c r="W304" s="2"/>
      <c r="X304" s="2"/>
      <c r="Y304" s="2"/>
      <c r="Z304" s="2"/>
      <c r="AA304" s="2"/>
      <c r="AB304" s="2"/>
      <c r="AC304" s="18"/>
    </row>
    <row r="305" spans="18:29" ht="12" customHeight="1" x14ac:dyDescent="0.2">
      <c r="R305" s="310"/>
      <c r="S305" s="96"/>
      <c r="T305" s="473" t="s">
        <v>33</v>
      </c>
      <c r="U305" s="474"/>
      <c r="V305" s="311"/>
      <c r="W305" s="2"/>
      <c r="X305" s="2"/>
      <c r="Y305" s="2"/>
      <c r="Z305" s="2"/>
      <c r="AA305" s="2"/>
      <c r="AB305" s="2"/>
      <c r="AC305" s="18"/>
    </row>
    <row r="306" spans="18:29" ht="12" customHeight="1" thickBot="1" x14ac:dyDescent="0.25">
      <c r="R306" s="312" t="s">
        <v>121</v>
      </c>
      <c r="S306" s="99"/>
      <c r="T306" s="100" t="s">
        <v>122</v>
      </c>
      <c r="U306" s="100" t="s">
        <v>38</v>
      </c>
      <c r="V306" s="313" t="s">
        <v>123</v>
      </c>
      <c r="W306" s="2"/>
      <c r="X306" s="2"/>
      <c r="Y306" s="2"/>
      <c r="Z306" s="2"/>
      <c r="AA306" s="2"/>
      <c r="AB306" s="2"/>
      <c r="AC306" s="18"/>
    </row>
    <row r="307" spans="18:29" ht="12" customHeight="1" x14ac:dyDescent="0.2">
      <c r="R307" s="317" t="s">
        <v>202</v>
      </c>
      <c r="S307" s="22" t="s">
        <v>203</v>
      </c>
      <c r="T307" s="106">
        <v>1</v>
      </c>
      <c r="U307" s="167">
        <f>IF($G$15&lt;=400,T314,(IF($G$15&lt;=550,T315,(IF($G$15&lt;=700,T316,(IF($G$15&lt;=1000,T317,(IF($G$15&lt;=1500,T318,(IF($G$15&gt;1500,T319)))))))))))</f>
        <v>300</v>
      </c>
      <c r="V307" s="315">
        <f>T307*U307</f>
        <v>300</v>
      </c>
      <c r="W307" s="214" t="s">
        <v>41</v>
      </c>
      <c r="X307" s="2"/>
      <c r="Y307" s="2"/>
      <c r="Z307" s="2"/>
      <c r="AA307" s="2"/>
      <c r="AB307" s="2"/>
    </row>
    <row r="308" spans="18:29" ht="12" customHeight="1" x14ac:dyDescent="0.2">
      <c r="R308" s="317" t="s">
        <v>111</v>
      </c>
      <c r="S308" s="22" t="s">
        <v>112</v>
      </c>
      <c r="T308" s="106">
        <v>1</v>
      </c>
      <c r="U308" s="169">
        <f>IF($G$15&lt;=400,U314,(IF($G$15&lt;=550,U315,(IF($G$15&lt;=700,U316,(IF($G$15&lt;=1000,U317,(IF($G$15&lt;=1500,U318,(IF($G$15&gt;1500,U319)))))))))))</f>
        <v>100</v>
      </c>
      <c r="V308" s="316">
        <f>T308*U308</f>
        <v>100</v>
      </c>
      <c r="W308" s="2"/>
      <c r="X308" s="2"/>
      <c r="Y308" s="2"/>
      <c r="Z308" s="2"/>
      <c r="AA308" s="2"/>
      <c r="AB308" s="2"/>
      <c r="AC308" s="18"/>
    </row>
    <row r="309" spans="18:29" ht="12" customHeight="1" x14ac:dyDescent="0.2">
      <c r="R309" s="317"/>
      <c r="S309" s="22"/>
      <c r="T309" s="80"/>
      <c r="U309" s="80"/>
      <c r="V309" s="318"/>
      <c r="W309" s="2"/>
      <c r="X309" s="2"/>
      <c r="Y309" s="2"/>
      <c r="Z309" s="2"/>
      <c r="AA309" s="2"/>
      <c r="AB309" s="2"/>
      <c r="AC309" s="18"/>
    </row>
    <row r="310" spans="18:29" ht="12" customHeight="1" thickBot="1" x14ac:dyDescent="0.25">
      <c r="R310" s="319" t="s">
        <v>204</v>
      </c>
      <c r="S310" s="320"/>
      <c r="T310" s="321"/>
      <c r="U310" s="321"/>
      <c r="V310" s="322">
        <f>SUM(V307:V308)</f>
        <v>400</v>
      </c>
      <c r="W310" s="2"/>
      <c r="X310" s="2"/>
      <c r="Y310" s="2"/>
      <c r="Z310" s="2"/>
      <c r="AA310" s="2"/>
      <c r="AB310" s="2"/>
      <c r="AC310" s="18"/>
    </row>
    <row r="311" spans="18:29" ht="12" customHeight="1" thickBot="1" x14ac:dyDescent="0.25">
      <c r="R311" s="18"/>
      <c r="S311" s="32"/>
      <c r="T311" s="32"/>
      <c r="U311" s="32"/>
      <c r="V311" s="122"/>
      <c r="W311" s="122"/>
      <c r="X311" s="122"/>
      <c r="Y311" s="122"/>
      <c r="Z311" s="122"/>
      <c r="AA311" s="122"/>
      <c r="AB311" s="122"/>
      <c r="AC311" s="18"/>
    </row>
    <row r="312" spans="18:29" ht="12" customHeight="1" thickBot="1" x14ac:dyDescent="0.25">
      <c r="R312" s="18"/>
      <c r="S312" s="945" t="s">
        <v>102</v>
      </c>
      <c r="T312" s="946"/>
      <c r="U312" s="946"/>
      <c r="V312" s="947"/>
      <c r="W312" s="122"/>
      <c r="X312" s="122"/>
      <c r="Y312" s="122"/>
      <c r="Z312" s="122"/>
      <c r="AA312" s="122"/>
      <c r="AB312" s="122"/>
      <c r="AC312" s="18"/>
    </row>
    <row r="313" spans="18:29" ht="12" customHeight="1" thickBot="1" x14ac:dyDescent="0.25">
      <c r="R313" s="60"/>
      <c r="S313" s="173" t="s">
        <v>103</v>
      </c>
      <c r="T313" s="227" t="s">
        <v>205</v>
      </c>
      <c r="U313" s="227" t="s">
        <v>206</v>
      </c>
      <c r="V313" s="228" t="s">
        <v>179</v>
      </c>
      <c r="W313" s="122"/>
      <c r="X313" s="122"/>
      <c r="Y313" s="122"/>
      <c r="Z313" s="122"/>
      <c r="AA313" s="122"/>
      <c r="AB313" s="122"/>
      <c r="AC313" s="18"/>
    </row>
    <row r="314" spans="18:29" ht="12" customHeight="1" x14ac:dyDescent="0.2">
      <c r="R314" s="18"/>
      <c r="S314" s="176" t="s">
        <v>104</v>
      </c>
      <c r="T314" s="197">
        <v>200</v>
      </c>
      <c r="U314" s="197">
        <v>100</v>
      </c>
      <c r="V314" s="139">
        <f>SUM(T314:U314)</f>
        <v>300</v>
      </c>
      <c r="W314" s="18"/>
      <c r="X314" s="18"/>
      <c r="Y314" s="18"/>
      <c r="Z314" s="18"/>
      <c r="AA314" s="18"/>
      <c r="AB314" s="18"/>
      <c r="AC314" s="18"/>
    </row>
    <row r="315" spans="18:29" ht="12" customHeight="1" x14ac:dyDescent="0.2">
      <c r="R315" s="117"/>
      <c r="S315" s="179" t="s">
        <v>105</v>
      </c>
      <c r="T315" s="197">
        <v>300</v>
      </c>
      <c r="U315" s="197">
        <v>100</v>
      </c>
      <c r="V315" s="139">
        <f t="shared" ref="V315:V319" si="18">SUM(T315:U315)</f>
        <v>400</v>
      </c>
      <c r="W315" s="117"/>
      <c r="X315" s="117"/>
      <c r="Y315" s="117"/>
      <c r="Z315" s="117"/>
      <c r="AA315" s="117"/>
      <c r="AB315" s="117"/>
      <c r="AC315" s="117"/>
    </row>
    <row r="316" spans="18:29" ht="12" customHeight="1" x14ac:dyDescent="0.2">
      <c r="R316" s="117"/>
      <c r="S316" s="179" t="s">
        <v>106</v>
      </c>
      <c r="T316" s="197">
        <v>400</v>
      </c>
      <c r="U316" s="197">
        <v>100</v>
      </c>
      <c r="V316" s="139">
        <f t="shared" si="18"/>
        <v>500</v>
      </c>
      <c r="W316" s="117"/>
      <c r="X316" s="117"/>
      <c r="Y316" s="117"/>
      <c r="Z316" s="117"/>
      <c r="AA316" s="117"/>
      <c r="AB316" s="117"/>
      <c r="AC316" s="117"/>
    </row>
    <row r="317" spans="18:29" ht="12" customHeight="1" x14ac:dyDescent="0.2">
      <c r="R317" s="117"/>
      <c r="S317" s="179" t="s">
        <v>107</v>
      </c>
      <c r="T317" s="197">
        <v>600</v>
      </c>
      <c r="U317" s="197">
        <v>100</v>
      </c>
      <c r="V317" s="139">
        <f t="shared" si="18"/>
        <v>700</v>
      </c>
      <c r="W317" s="117"/>
      <c r="X317" s="117"/>
      <c r="Y317" s="117"/>
      <c r="Z317" s="117"/>
      <c r="AA317" s="117"/>
      <c r="AB317" s="117"/>
      <c r="AC317" s="117"/>
    </row>
    <row r="318" spans="18:29" ht="12" customHeight="1" x14ac:dyDescent="0.2">
      <c r="R318" s="117"/>
      <c r="S318" s="179" t="s">
        <v>108</v>
      </c>
      <c r="T318" s="197">
        <v>800</v>
      </c>
      <c r="U318" s="197">
        <v>100</v>
      </c>
      <c r="V318" s="139">
        <f t="shared" si="18"/>
        <v>900</v>
      </c>
      <c r="W318" s="117"/>
      <c r="X318" s="117"/>
      <c r="Y318" s="117"/>
      <c r="Z318" s="117"/>
      <c r="AA318" s="117"/>
      <c r="AB318" s="117"/>
      <c r="AC318" s="117"/>
    </row>
    <row r="319" spans="18:29" ht="12" customHeight="1" thickBot="1" x14ac:dyDescent="0.25">
      <c r="R319" s="117"/>
      <c r="S319" s="176" t="s">
        <v>109</v>
      </c>
      <c r="T319" s="199">
        <v>800</v>
      </c>
      <c r="U319" s="199">
        <v>100</v>
      </c>
      <c r="V319" s="144">
        <f t="shared" si="18"/>
        <v>900</v>
      </c>
      <c r="W319" s="122"/>
      <c r="X319" s="122"/>
      <c r="Y319" s="122"/>
      <c r="Z319" s="122"/>
      <c r="AA319" s="122"/>
      <c r="AB319" s="122"/>
      <c r="AC319" s="117"/>
    </row>
    <row r="320" spans="18:29" ht="12" customHeight="1" thickBot="1" x14ac:dyDescent="0.25">
      <c r="R320" s="117"/>
      <c r="S320" s="470" t="s">
        <v>110</v>
      </c>
      <c r="T320" s="471"/>
      <c r="U320" s="471"/>
      <c r="V320" s="472"/>
      <c r="W320" s="122"/>
      <c r="X320" s="122"/>
      <c r="Y320" s="122"/>
      <c r="Z320" s="122"/>
      <c r="AA320" s="122"/>
      <c r="AB320" s="122"/>
      <c r="AC320" s="117"/>
    </row>
    <row r="321" spans="18:29" ht="12" customHeight="1" x14ac:dyDescent="0.2">
      <c r="R321" s="117"/>
      <c r="V321" s="122"/>
      <c r="W321" s="122"/>
      <c r="X321" s="122"/>
      <c r="Y321" s="122"/>
      <c r="Z321" s="122"/>
      <c r="AA321" s="122"/>
      <c r="AB321" s="122"/>
      <c r="AC321" s="117"/>
    </row>
    <row r="322" spans="18:29" ht="12" customHeight="1" thickBot="1" x14ac:dyDescent="0.25"/>
    <row r="323" spans="18:29" ht="12" customHeight="1" x14ac:dyDescent="0.2">
      <c r="R323" s="977" t="s">
        <v>207</v>
      </c>
      <c r="S323" s="978"/>
      <c r="T323" s="978"/>
      <c r="U323" s="978"/>
      <c r="V323" s="979"/>
    </row>
    <row r="324" spans="18:29" ht="12" customHeight="1" thickBot="1" x14ac:dyDescent="0.25">
      <c r="R324" s="980"/>
      <c r="S324" s="981"/>
      <c r="T324" s="981"/>
      <c r="U324" s="981"/>
      <c r="V324" s="982"/>
      <c r="W324" s="18"/>
      <c r="AC324" s="18"/>
    </row>
    <row r="325" spans="18:29" ht="12" customHeight="1" x14ac:dyDescent="0.2">
      <c r="R325" s="310"/>
      <c r="S325" s="96"/>
      <c r="T325" s="473" t="s">
        <v>33</v>
      </c>
      <c r="U325" s="474"/>
      <c r="V325" s="311"/>
      <c r="W325" s="18"/>
      <c r="AC325" s="18"/>
    </row>
    <row r="326" spans="18:29" ht="12" customHeight="1" thickBot="1" x14ac:dyDescent="0.25">
      <c r="R326" s="312" t="s">
        <v>121</v>
      </c>
      <c r="S326" s="99"/>
      <c r="T326" s="100" t="s">
        <v>122</v>
      </c>
      <c r="U326" s="100" t="s">
        <v>38</v>
      </c>
      <c r="V326" s="313" t="s">
        <v>123</v>
      </c>
      <c r="W326" s="18"/>
      <c r="AC326" s="18"/>
    </row>
    <row r="327" spans="18:29" ht="12" customHeight="1" x14ac:dyDescent="0.2">
      <c r="R327" s="317" t="s">
        <v>208</v>
      </c>
      <c r="S327" s="50" t="s">
        <v>116</v>
      </c>
      <c r="T327" s="229" t="s">
        <v>40</v>
      </c>
      <c r="U327" s="230">
        <f>SUM(G21:G23)*0.035</f>
        <v>1459.29035</v>
      </c>
      <c r="V327" s="372">
        <f>1*U327</f>
        <v>1459.29035</v>
      </c>
      <c r="W327" s="218" t="s">
        <v>209</v>
      </c>
      <c r="AC327" s="218"/>
    </row>
    <row r="328" spans="18:29" ht="12" customHeight="1" x14ac:dyDescent="0.2">
      <c r="R328" s="317" t="s">
        <v>210</v>
      </c>
      <c r="S328" s="50" t="s">
        <v>211</v>
      </c>
      <c r="T328" s="106">
        <v>1</v>
      </c>
      <c r="U328" s="80">
        <f>IF($G$15&lt;=400,T357,(IF($G$15&lt;=550,T358,(IF($G$15&lt;=700,T359,(IF($G$15&lt;=1000,T360,(IF($G$15&lt;=1500,T361,(IF($G$15&gt;1500,T362)))))))))))</f>
        <v>100</v>
      </c>
      <c r="V328" s="315">
        <f>T328*U328</f>
        <v>100</v>
      </c>
      <c r="W328" s="218"/>
      <c r="AC328" s="218"/>
    </row>
    <row r="329" spans="18:29" ht="12" customHeight="1" x14ac:dyDescent="0.2">
      <c r="R329" s="317" t="s">
        <v>212</v>
      </c>
      <c r="S329" s="50" t="s">
        <v>213</v>
      </c>
      <c r="T329" s="106">
        <v>1</v>
      </c>
      <c r="U329" s="80">
        <f>IF($G$15&lt;=400,U357,(IF($G$15&lt;=550,U358,(IF($G$15&lt;=700,U359,(IF($G$15&lt;=1000,U360,(IF($G$15&lt;=1500,U361,(IF($G$15&gt;1500,U362)))))))))))</f>
        <v>100</v>
      </c>
      <c r="V329" s="315">
        <f>T329*U329</f>
        <v>100</v>
      </c>
      <c r="W329" s="218"/>
      <c r="AC329" s="218"/>
    </row>
    <row r="330" spans="18:29" ht="12" customHeight="1" x14ac:dyDescent="0.2">
      <c r="R330" s="317" t="s">
        <v>214</v>
      </c>
      <c r="S330" s="50" t="s">
        <v>215</v>
      </c>
      <c r="T330" s="106">
        <v>1</v>
      </c>
      <c r="U330" s="80">
        <f>IF($G$15&lt;=400,V357,(IF($G$15&lt;=550,V358,(IF($G$15&lt;=700,V359,(IF($G$15&lt;=1000,V360,(IF($G$15&lt;=1500,V361,(IF($G$15&gt;1500,V362)))))))))))</f>
        <v>128</v>
      </c>
      <c r="V330" s="315">
        <f>T330*U330</f>
        <v>128</v>
      </c>
      <c r="W330" s="218" t="s">
        <v>41</v>
      </c>
      <c r="AC330" s="218"/>
    </row>
    <row r="331" spans="18:29" ht="12" customHeight="1" x14ac:dyDescent="0.2">
      <c r="R331" s="317" t="s">
        <v>216</v>
      </c>
      <c r="S331" s="50" t="s">
        <v>117</v>
      </c>
      <c r="T331" s="229" t="s">
        <v>40</v>
      </c>
      <c r="U331" s="230">
        <f>SUM(G21:G23)*0.2</f>
        <v>8338.8019999999997</v>
      </c>
      <c r="V331" s="372">
        <f>1*U331</f>
        <v>8338.8019999999997</v>
      </c>
      <c r="W331" s="218" t="s">
        <v>209</v>
      </c>
      <c r="AC331" s="218"/>
    </row>
    <row r="332" spans="18:29" ht="12" customHeight="1" x14ac:dyDescent="0.2">
      <c r="R332" s="317"/>
      <c r="S332" s="232" t="s">
        <v>217</v>
      </c>
      <c r="T332" s="233" t="s">
        <v>40</v>
      </c>
      <c r="U332" s="234">
        <f>IF(I18=1,0,IF(G15=350,(SUM(G21:G23)*0.025), IF(G15&gt;=1000,(SUM(G21:G23)*0.015), (SUM(G21:G23)*(((-0.0015*G15)+3.0385)/100)))))</f>
        <v>0</v>
      </c>
      <c r="V332" s="315">
        <f>U332</f>
        <v>0</v>
      </c>
      <c r="W332" s="218" t="s">
        <v>36</v>
      </c>
      <c r="AC332" s="218"/>
    </row>
    <row r="333" spans="18:29" ht="12" customHeight="1" x14ac:dyDescent="0.2">
      <c r="R333" s="317" t="s">
        <v>218</v>
      </c>
      <c r="S333" s="50" t="s">
        <v>118</v>
      </c>
      <c r="T333" s="229" t="s">
        <v>40</v>
      </c>
      <c r="U333" s="230">
        <f>SUM(G21:G23)*0.069</f>
        <v>2876.8866899999998</v>
      </c>
      <c r="V333" s="372">
        <f>U333</f>
        <v>2876.8866899999998</v>
      </c>
      <c r="W333" s="218" t="s">
        <v>209</v>
      </c>
      <c r="AC333" s="218"/>
    </row>
    <row r="334" spans="18:29" ht="12" customHeight="1" x14ac:dyDescent="0.2">
      <c r="R334" s="317" t="s">
        <v>219</v>
      </c>
      <c r="S334" s="22" t="s">
        <v>220</v>
      </c>
      <c r="T334" s="106">
        <v>1</v>
      </c>
      <c r="U334" s="235">
        <f>IF($G$15&lt;=400,X357,(IF($G$15&lt;=550,X358,(IF($G$15&lt;=700,X359,(IF($G$15&lt;=1000,X360,(IF($G$15&lt;=1500,X361,(IF($G$15&gt;1500,X362)))))))))))</f>
        <v>200</v>
      </c>
      <c r="V334" s="315">
        <f>T334*U334</f>
        <v>200</v>
      </c>
      <c r="W334" s="218" t="s">
        <v>221</v>
      </c>
      <c r="AC334" s="218"/>
    </row>
    <row r="335" spans="18:29" ht="12" customHeight="1" x14ac:dyDescent="0.2">
      <c r="R335" s="317" t="s">
        <v>222</v>
      </c>
      <c r="S335" s="22" t="s">
        <v>223</v>
      </c>
      <c r="T335" s="106">
        <v>1</v>
      </c>
      <c r="U335" s="235">
        <f>IF($G$15&lt;=400,Y357,(IF($G$15&lt;=550,Y358,(IF($G$15&lt;=700,Y359,(IF($G$15&lt;=1000,Y360,(IF($G$15&lt;=1500,Y361,(IF($G$15&gt;1500,Y362)))))))))))</f>
        <v>235</v>
      </c>
      <c r="V335" s="315">
        <f>T335*U335</f>
        <v>235</v>
      </c>
      <c r="W335" s="218" t="s">
        <v>221</v>
      </c>
      <c r="AC335" s="218"/>
    </row>
    <row r="336" spans="18:29" ht="12" customHeight="1" x14ac:dyDescent="0.2">
      <c r="R336" s="317" t="s">
        <v>224</v>
      </c>
      <c r="S336" s="22" t="s">
        <v>225</v>
      </c>
      <c r="T336" s="106">
        <v>1</v>
      </c>
      <c r="U336" s="230">
        <f>IF($G$15&lt;=400,Z357,(IF($G$15&lt;=550,Z358,(IF($G$15&lt;=700,Z359,(IF($G$15&lt;=1000,Z360,(IF($G$15&lt;=1500,Z361,(IF($G$15&gt;1500,Z362)))))))))))</f>
        <v>120</v>
      </c>
      <c r="V336" s="315">
        <f>T336*U336</f>
        <v>120</v>
      </c>
      <c r="W336" s="218"/>
      <c r="AC336" s="218"/>
    </row>
    <row r="337" spans="18:29" ht="12" customHeight="1" x14ac:dyDescent="0.2">
      <c r="R337" s="314" t="s">
        <v>226</v>
      </c>
      <c r="S337" s="22" t="s">
        <v>143</v>
      </c>
      <c r="T337" s="106">
        <v>1</v>
      </c>
      <c r="U337" s="230">
        <f>IF($G$15&lt;=400,AA357,(IF($G$15&lt;=550,AA358,(IF($G$15&lt;=700,AA359,(IF($G$15&lt;=1000,AA360,(IF($G$15&lt;=1500,AA361,(IF($G$15&gt;1500,AA362)))))))))))</f>
        <v>0</v>
      </c>
      <c r="V337" s="315">
        <f>T337*U337</f>
        <v>0</v>
      </c>
      <c r="W337" s="18"/>
      <c r="AC337" s="18"/>
    </row>
    <row r="338" spans="18:29" ht="12" customHeight="1" x14ac:dyDescent="0.2">
      <c r="R338" s="373" t="s">
        <v>227</v>
      </c>
      <c r="S338" s="109" t="s">
        <v>228</v>
      </c>
      <c r="T338" s="106">
        <v>1</v>
      </c>
      <c r="U338" s="236">
        <f>IF($G$15&lt;=400,AB357,(IF($G$15&lt;=550,AB358,(IF($G$15&lt;=700,AB359,(IF($G$15&lt;=1000,AB360,(IF($G$15&lt;=1500,AB361,(IF($G$15&gt;1500,AB362)))))))))))</f>
        <v>90</v>
      </c>
      <c r="V338" s="316">
        <f>T338*U338</f>
        <v>90</v>
      </c>
      <c r="W338" s="237" t="s">
        <v>221</v>
      </c>
      <c r="AC338" s="237"/>
    </row>
    <row r="339" spans="18:29" ht="12" customHeight="1" x14ac:dyDescent="0.2">
      <c r="R339" s="317"/>
      <c r="S339" s="22"/>
      <c r="T339" s="80"/>
      <c r="U339" s="80"/>
      <c r="V339" s="318"/>
      <c r="AC339" s="18"/>
    </row>
    <row r="340" spans="18:29" ht="12" customHeight="1" thickBot="1" x14ac:dyDescent="0.25">
      <c r="R340" s="319" t="s">
        <v>229</v>
      </c>
      <c r="S340" s="320"/>
      <c r="T340" s="321"/>
      <c r="U340" s="321"/>
      <c r="V340" s="322">
        <f>SUM(V327:V338)</f>
        <v>13647.979039999998</v>
      </c>
      <c r="AC340" s="18"/>
    </row>
    <row r="341" spans="18:29" ht="12" customHeight="1" thickBot="1" x14ac:dyDescent="0.25"/>
    <row r="342" spans="18:29" ht="12" customHeight="1" thickBot="1" x14ac:dyDescent="0.25">
      <c r="R342" s="945" t="s">
        <v>230</v>
      </c>
      <c r="S342" s="946"/>
      <c r="T342" s="946"/>
      <c r="U342" s="946"/>
      <c r="V342" s="946"/>
      <c r="W342" s="946"/>
      <c r="X342" s="946"/>
      <c r="Y342" s="946"/>
      <c r="Z342" s="947"/>
    </row>
    <row r="343" spans="18:29" ht="12" customHeight="1" thickBot="1" x14ac:dyDescent="0.25">
      <c r="R343" s="149" t="s">
        <v>23</v>
      </c>
      <c r="S343" s="150" t="s">
        <v>24</v>
      </c>
      <c r="T343" s="151"/>
      <c r="U343" s="151"/>
      <c r="V343" s="151"/>
      <c r="W343" s="151"/>
      <c r="X343" s="151"/>
      <c r="Y343" s="238"/>
      <c r="Z343" s="239"/>
    </row>
    <row r="344" spans="18:29" ht="12" customHeight="1" x14ac:dyDescent="0.2">
      <c r="R344" s="68">
        <v>1</v>
      </c>
      <c r="S344" s="153" t="s">
        <v>231</v>
      </c>
      <c r="T344" s="154"/>
      <c r="U344" s="154"/>
      <c r="V344" s="154"/>
      <c r="W344" s="154"/>
      <c r="X344" s="154"/>
      <c r="Y344" s="161"/>
      <c r="Z344" s="162"/>
    </row>
    <row r="345" spans="18:29" ht="12" customHeight="1" x14ac:dyDescent="0.2">
      <c r="R345" s="68">
        <v>2</v>
      </c>
      <c r="S345" s="214" t="s">
        <v>232</v>
      </c>
      <c r="T345" s="157"/>
      <c r="U345" s="157"/>
      <c r="V345" s="157"/>
      <c r="W345" s="157"/>
      <c r="X345" s="157"/>
      <c r="Y345" s="161"/>
      <c r="Z345" s="162"/>
    </row>
    <row r="346" spans="18:29" ht="12" customHeight="1" thickBot="1" x14ac:dyDescent="0.25">
      <c r="R346" s="71"/>
      <c r="S346" s="164" t="s">
        <v>233</v>
      </c>
      <c r="T346" s="170"/>
      <c r="U346" s="170"/>
      <c r="V346" s="170"/>
      <c r="W346" s="170"/>
      <c r="X346" s="170"/>
      <c r="Y346" s="165"/>
      <c r="Z346" s="166"/>
    </row>
    <row r="347" spans="18:29" ht="12" customHeight="1" thickBot="1" x14ac:dyDescent="0.25"/>
    <row r="348" spans="18:29" ht="12" customHeight="1" thickBot="1" x14ac:dyDescent="0.25">
      <c r="S348" s="945" t="s">
        <v>113</v>
      </c>
      <c r="T348" s="946"/>
      <c r="U348" s="946"/>
      <c r="V348" s="947"/>
    </row>
    <row r="349" spans="18:29" ht="12" customHeight="1" thickBot="1" x14ac:dyDescent="0.25">
      <c r="S349" s="173" t="s">
        <v>114</v>
      </c>
      <c r="T349" s="194" t="s">
        <v>115</v>
      </c>
      <c r="U349" s="194" t="s">
        <v>90</v>
      </c>
      <c r="V349" s="174" t="s">
        <v>93</v>
      </c>
    </row>
    <row r="350" spans="18:29" ht="12" customHeight="1" x14ac:dyDescent="0.2">
      <c r="S350" s="176" t="s">
        <v>116</v>
      </c>
      <c r="T350" s="240" t="s">
        <v>115</v>
      </c>
      <c r="U350" s="221" t="s">
        <v>92</v>
      </c>
      <c r="V350" s="241">
        <v>3.5</v>
      </c>
    </row>
    <row r="351" spans="18:29" ht="12" customHeight="1" x14ac:dyDescent="0.2">
      <c r="S351" s="179" t="s">
        <v>117</v>
      </c>
      <c r="T351" s="242" t="s">
        <v>115</v>
      </c>
      <c r="U351" s="221" t="s">
        <v>92</v>
      </c>
      <c r="V351" s="241">
        <v>20</v>
      </c>
    </row>
    <row r="352" spans="18:29" ht="12" customHeight="1" thickBot="1" x14ac:dyDescent="0.25">
      <c r="S352" s="179" t="s">
        <v>118</v>
      </c>
      <c r="T352" s="206" t="s">
        <v>115</v>
      </c>
      <c r="U352" s="221" t="s">
        <v>92</v>
      </c>
      <c r="V352" s="241">
        <v>6.9</v>
      </c>
    </row>
    <row r="353" spans="18:29" ht="12" customHeight="1" thickBot="1" x14ac:dyDescent="0.25">
      <c r="S353" s="948" t="s">
        <v>119</v>
      </c>
      <c r="T353" s="949"/>
      <c r="U353" s="949"/>
      <c r="V353" s="950"/>
    </row>
    <row r="354" spans="18:29" ht="12" customHeight="1" thickBot="1" x14ac:dyDescent="0.25"/>
    <row r="355" spans="18:29" ht="12" customHeight="1" thickBot="1" x14ac:dyDescent="0.25">
      <c r="S355" s="945" t="s">
        <v>102</v>
      </c>
      <c r="T355" s="946"/>
      <c r="U355" s="946"/>
      <c r="V355" s="946"/>
      <c r="W355" s="946"/>
      <c r="X355" s="946"/>
      <c r="Y355" s="946"/>
      <c r="Z355" s="946"/>
      <c r="AA355" s="946"/>
      <c r="AB355" s="946"/>
      <c r="AC355" s="947"/>
    </row>
    <row r="356" spans="18:29" ht="12" customHeight="1" thickBot="1" x14ac:dyDescent="0.25">
      <c r="S356" s="173" t="s">
        <v>103</v>
      </c>
      <c r="T356" s="205" t="s">
        <v>235</v>
      </c>
      <c r="U356" s="205" t="s">
        <v>236</v>
      </c>
      <c r="V356" s="174" t="s">
        <v>237</v>
      </c>
      <c r="W356" s="174" t="s">
        <v>238</v>
      </c>
      <c r="X356" s="174" t="s">
        <v>239</v>
      </c>
      <c r="Y356" s="174" t="s">
        <v>240</v>
      </c>
      <c r="Z356" s="174" t="s">
        <v>241</v>
      </c>
      <c r="AA356" s="174" t="s">
        <v>242</v>
      </c>
      <c r="AB356" s="174" t="s">
        <v>234</v>
      </c>
      <c r="AC356" s="174" t="s">
        <v>179</v>
      </c>
    </row>
    <row r="357" spans="18:29" ht="12" customHeight="1" x14ac:dyDescent="0.2">
      <c r="S357" s="243" t="s">
        <v>104</v>
      </c>
      <c r="T357" s="138">
        <v>100</v>
      </c>
      <c r="U357" s="138">
        <v>100</v>
      </c>
      <c r="V357" s="138">
        <v>128</v>
      </c>
      <c r="W357" s="244">
        <v>0</v>
      </c>
      <c r="X357" s="138">
        <v>150</v>
      </c>
      <c r="Y357" s="138">
        <v>170</v>
      </c>
      <c r="Z357" s="138">
        <v>120</v>
      </c>
      <c r="AA357" s="138">
        <v>0</v>
      </c>
      <c r="AB357" s="245">
        <v>80</v>
      </c>
      <c r="AC357" s="226">
        <f>SUM(T357:AB357)</f>
        <v>848</v>
      </c>
    </row>
    <row r="358" spans="18:29" ht="12" customHeight="1" x14ac:dyDescent="0.2">
      <c r="S358" s="179" t="s">
        <v>105</v>
      </c>
      <c r="T358" s="141">
        <v>100</v>
      </c>
      <c r="U358" s="141">
        <v>100</v>
      </c>
      <c r="V358" s="141">
        <v>128</v>
      </c>
      <c r="W358" s="246">
        <v>0</v>
      </c>
      <c r="X358" s="141">
        <v>200</v>
      </c>
      <c r="Y358" s="141">
        <v>235</v>
      </c>
      <c r="Z358" s="141">
        <v>120</v>
      </c>
      <c r="AA358" s="141">
        <v>0</v>
      </c>
      <c r="AB358" s="247">
        <v>90</v>
      </c>
      <c r="AC358" s="139">
        <f t="shared" ref="AC358:AC361" si="19">SUM(T358:AB358)</f>
        <v>973</v>
      </c>
    </row>
    <row r="359" spans="18:29" ht="12" customHeight="1" x14ac:dyDescent="0.2">
      <c r="S359" s="179" t="s">
        <v>106</v>
      </c>
      <c r="T359" s="141">
        <v>150</v>
      </c>
      <c r="U359" s="141">
        <v>150</v>
      </c>
      <c r="V359" s="141">
        <v>128</v>
      </c>
      <c r="W359" s="246">
        <v>0</v>
      </c>
      <c r="X359" s="141">
        <v>250</v>
      </c>
      <c r="Y359" s="141">
        <v>240</v>
      </c>
      <c r="Z359" s="141">
        <v>120</v>
      </c>
      <c r="AA359" s="141">
        <v>0</v>
      </c>
      <c r="AB359" s="247">
        <v>110</v>
      </c>
      <c r="AC359" s="139">
        <f t="shared" si="19"/>
        <v>1148</v>
      </c>
    </row>
    <row r="360" spans="18:29" ht="12" customHeight="1" x14ac:dyDescent="0.2">
      <c r="S360" s="179" t="s">
        <v>107</v>
      </c>
      <c r="T360" s="141">
        <v>100</v>
      </c>
      <c r="U360" s="141">
        <v>100</v>
      </c>
      <c r="V360" s="141">
        <v>128</v>
      </c>
      <c r="W360" s="246">
        <v>0</v>
      </c>
      <c r="X360" s="141">
        <v>250</v>
      </c>
      <c r="Y360" s="141">
        <v>240</v>
      </c>
      <c r="Z360" s="141">
        <v>120</v>
      </c>
      <c r="AA360" s="141">
        <v>0</v>
      </c>
      <c r="AB360" s="247">
        <v>110</v>
      </c>
      <c r="AC360" s="139">
        <f t="shared" si="19"/>
        <v>1048</v>
      </c>
    </row>
    <row r="361" spans="18:29" ht="12" customHeight="1" x14ac:dyDescent="0.2">
      <c r="S361" s="179" t="s">
        <v>108</v>
      </c>
      <c r="T361" s="141">
        <v>150</v>
      </c>
      <c r="U361" s="141">
        <v>150</v>
      </c>
      <c r="V361" s="141">
        <v>192</v>
      </c>
      <c r="W361" s="246">
        <v>0</v>
      </c>
      <c r="X361" s="141">
        <v>250</v>
      </c>
      <c r="Y361" s="141">
        <v>360</v>
      </c>
      <c r="Z361" s="141">
        <v>120</v>
      </c>
      <c r="AA361" s="141">
        <v>0</v>
      </c>
      <c r="AB361" s="247">
        <v>140</v>
      </c>
      <c r="AC361" s="139">
        <f t="shared" si="19"/>
        <v>1362</v>
      </c>
    </row>
    <row r="362" spans="18:29" ht="12" customHeight="1" thickBot="1" x14ac:dyDescent="0.25">
      <c r="S362" s="248" t="s">
        <v>109</v>
      </c>
      <c r="T362" s="249">
        <v>200</v>
      </c>
      <c r="U362" s="249">
        <v>200</v>
      </c>
      <c r="V362" s="249">
        <v>256</v>
      </c>
      <c r="W362" s="250">
        <v>0</v>
      </c>
      <c r="X362" s="249">
        <v>350</v>
      </c>
      <c r="Y362" s="249">
        <v>540</v>
      </c>
      <c r="Z362" s="249">
        <v>120</v>
      </c>
      <c r="AA362" s="249">
        <v>0</v>
      </c>
      <c r="AB362" s="251">
        <v>160</v>
      </c>
      <c r="AC362" s="252">
        <f>SUM(T362:AB362)</f>
        <v>1826</v>
      </c>
    </row>
    <row r="363" spans="18:29" ht="12" customHeight="1" thickBot="1" x14ac:dyDescent="0.25">
      <c r="S363" s="948" t="s">
        <v>110</v>
      </c>
      <c r="T363" s="949"/>
      <c r="U363" s="949"/>
      <c r="V363" s="949"/>
      <c r="W363" s="949"/>
      <c r="X363" s="949"/>
      <c r="Y363" s="949"/>
      <c r="Z363" s="949"/>
      <c r="AA363" s="949"/>
      <c r="AB363" s="949"/>
      <c r="AC363" s="950"/>
    </row>
    <row r="364" spans="18:29" ht="12" customHeight="1" x14ac:dyDescent="0.2"/>
    <row r="365" spans="18:29" ht="12" customHeight="1" x14ac:dyDescent="0.2"/>
    <row r="366" spans="18:29" ht="12" customHeight="1" x14ac:dyDescent="0.2">
      <c r="R366" s="92"/>
      <c r="V366" s="90"/>
    </row>
    <row r="367" spans="18:29" ht="12" customHeight="1" x14ac:dyDescent="0.2"/>
    <row r="368" spans="18:29"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75" customHeight="1" x14ac:dyDescent="0.2"/>
    <row r="481" ht="12.75" customHeight="1" x14ac:dyDescent="0.2"/>
    <row r="482" ht="12.75" customHeight="1" x14ac:dyDescent="0.2"/>
    <row r="483" ht="12.75" customHeight="1" x14ac:dyDescent="0.2"/>
  </sheetData>
  <sheetProtection password="D821" sheet="1" objects="1" scenarios="1" selectLockedCells="1"/>
  <mergeCells count="108">
    <mergeCell ref="S355:AC355"/>
    <mergeCell ref="S363:AC363"/>
    <mergeCell ref="S244:U244"/>
    <mergeCell ref="R227:V228"/>
    <mergeCell ref="R239:X239"/>
    <mergeCell ref="S252:U252"/>
    <mergeCell ref="S290:X290"/>
    <mergeCell ref="S292:V292"/>
    <mergeCell ref="S300:V300"/>
    <mergeCell ref="R303:V304"/>
    <mergeCell ref="S312:V312"/>
    <mergeCell ref="R323:V324"/>
    <mergeCell ref="R342:Z342"/>
    <mergeCell ref="S348:V348"/>
    <mergeCell ref="S353:V353"/>
    <mergeCell ref="S282:X282"/>
    <mergeCell ref="S262:Y262"/>
    <mergeCell ref="S254:Y254"/>
    <mergeCell ref="R266:V267"/>
    <mergeCell ref="K17:M17"/>
    <mergeCell ref="K21:M21"/>
    <mergeCell ref="K22:M22"/>
    <mergeCell ref="S33:AF33"/>
    <mergeCell ref="S41:AF41"/>
    <mergeCell ref="R27:X27"/>
    <mergeCell ref="R45:V46"/>
    <mergeCell ref="O27:P27"/>
    <mergeCell ref="O26:P26"/>
    <mergeCell ref="O30:P30"/>
    <mergeCell ref="O25:P25"/>
    <mergeCell ref="S215:V215"/>
    <mergeCell ref="S223:V223"/>
    <mergeCell ref="R57:X57"/>
    <mergeCell ref="S71:Y71"/>
    <mergeCell ref="S79:Y79"/>
    <mergeCell ref="S98:T98"/>
    <mergeCell ref="S106:T106"/>
    <mergeCell ref="S108:Y108"/>
    <mergeCell ref="S116:Y116"/>
    <mergeCell ref="R83:V84"/>
    <mergeCell ref="T85:V85"/>
    <mergeCell ref="R93:X93"/>
    <mergeCell ref="S139:W139"/>
    <mergeCell ref="S147:W147"/>
    <mergeCell ref="R206:V207"/>
    <mergeCell ref="S167:V167"/>
    <mergeCell ref="S159:V159"/>
    <mergeCell ref="R172:V173"/>
    <mergeCell ref="S194:AI194"/>
    <mergeCell ref="S202:AI202"/>
    <mergeCell ref="G27:H27"/>
    <mergeCell ref="G28:H28"/>
    <mergeCell ref="G19:H19"/>
    <mergeCell ref="C66:M66"/>
    <mergeCell ref="K11:M12"/>
    <mergeCell ref="K14:M14"/>
    <mergeCell ref="C38:L38"/>
    <mergeCell ref="C32:L32"/>
    <mergeCell ref="C36:L36"/>
    <mergeCell ref="G17:H17"/>
    <mergeCell ref="C31:L31"/>
    <mergeCell ref="G18:H18"/>
    <mergeCell ref="K23:M23"/>
    <mergeCell ref="K24:M24"/>
    <mergeCell ref="K26:M26"/>
    <mergeCell ref="K27:M27"/>
    <mergeCell ref="K28:M28"/>
    <mergeCell ref="C33:M35"/>
    <mergeCell ref="C21:F21"/>
    <mergeCell ref="C22:F22"/>
    <mergeCell ref="C23:F23"/>
    <mergeCell ref="C24:F24"/>
    <mergeCell ref="K15:M15"/>
    <mergeCell ref="K16:M16"/>
    <mergeCell ref="A1:M1"/>
    <mergeCell ref="R119:V120"/>
    <mergeCell ref="R150:V151"/>
    <mergeCell ref="R8:V9"/>
    <mergeCell ref="A4:M8"/>
    <mergeCell ref="C41:G42"/>
    <mergeCell ref="C77:M77"/>
    <mergeCell ref="C75:M75"/>
    <mergeCell ref="C71:M71"/>
    <mergeCell ref="C68:M68"/>
    <mergeCell ref="C70:M70"/>
    <mergeCell ref="C72:M72"/>
    <mergeCell ref="C73:M73"/>
    <mergeCell ref="C74:M74"/>
    <mergeCell ref="C69:M69"/>
    <mergeCell ref="C76:M76"/>
    <mergeCell ref="C37:M37"/>
    <mergeCell ref="C65:M65"/>
    <mergeCell ref="C67:M67"/>
    <mergeCell ref="C11:H12"/>
    <mergeCell ref="G16:H16"/>
    <mergeCell ref="G14:H14"/>
    <mergeCell ref="G15:H15"/>
    <mergeCell ref="G26:H26"/>
    <mergeCell ref="O15:P15"/>
    <mergeCell ref="O16:P16"/>
    <mergeCell ref="O17:P17"/>
    <mergeCell ref="O18:P18"/>
    <mergeCell ref="O20:P20"/>
    <mergeCell ref="O21:P21"/>
    <mergeCell ref="O22:P22"/>
    <mergeCell ref="O23:P23"/>
    <mergeCell ref="O24:P24"/>
    <mergeCell ref="O19:P19"/>
  </mergeCells>
  <pageMargins left="1" right="0.5" top="1" bottom="0.37" header="0.5" footer="0.25"/>
  <pageSetup scale="6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56" r:id="rId4" name="Option Button 84">
              <controlPr locked="0" defaultSize="0" autoFill="0" autoLine="0" autoPict="0">
                <anchor moveWithCells="1">
                  <from>
                    <xdr:col>3</xdr:col>
                    <xdr:colOff>809625</xdr:colOff>
                    <xdr:row>16</xdr:row>
                    <xdr:rowOff>123825</xdr:rowOff>
                  </from>
                  <to>
                    <xdr:col>3</xdr:col>
                    <xdr:colOff>1981200</xdr:colOff>
                    <xdr:row>18</xdr:row>
                    <xdr:rowOff>28575</xdr:rowOff>
                  </to>
                </anchor>
              </controlPr>
            </control>
          </mc:Choice>
        </mc:AlternateContent>
        <mc:AlternateContent xmlns:mc="http://schemas.openxmlformats.org/markup-compatibility/2006">
          <mc:Choice Requires="x14">
            <control shapeId="3157" r:id="rId5" name="Option Button 85">
              <controlPr locked="0" defaultSize="0" autoFill="0" autoLine="0" autoPict="0">
                <anchor moveWithCells="1">
                  <from>
                    <xdr:col>3</xdr:col>
                    <xdr:colOff>2047875</xdr:colOff>
                    <xdr:row>16</xdr:row>
                    <xdr:rowOff>114300</xdr:rowOff>
                  </from>
                  <to>
                    <xdr:col>5</xdr:col>
                    <xdr:colOff>295275</xdr:colOff>
                    <xdr:row>18</xdr:row>
                    <xdr:rowOff>28575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ransitionEvaluation="1" enableFormatConditionsCalculation="0">
    <tabColor indexed="43"/>
  </sheetPr>
  <dimension ref="A1:BG483"/>
  <sheetViews>
    <sheetView defaultGridColor="0" colorId="22" zoomScale="118" zoomScaleNormal="118" zoomScalePageLayoutView="118" workbookViewId="0">
      <selection activeCell="G14" sqref="G14:H14"/>
    </sheetView>
  </sheetViews>
  <sheetFormatPr defaultColWidth="8.85546875" defaultRowHeight="12.75" x14ac:dyDescent="0.2"/>
  <cols>
    <col min="1" max="1" width="8.7109375" style="1" customWidth="1"/>
    <col min="2" max="2" width="1.140625" style="1" customWidth="1"/>
    <col min="3" max="3" width="10.42578125" style="1" customWidth="1"/>
    <col min="4" max="4" width="31.85546875" style="1" customWidth="1"/>
    <col min="5" max="6" width="10.28515625" style="1" customWidth="1"/>
    <col min="7" max="7" width="10" style="1" customWidth="1"/>
    <col min="8" max="8" width="18.42578125" style="1" customWidth="1"/>
    <col min="9" max="9" width="10.28515625" style="1" customWidth="1"/>
    <col min="10" max="11" width="8.85546875" style="1"/>
    <col min="12" max="12" width="9.7109375" style="1" bestFit="1" customWidth="1"/>
    <col min="13" max="14" width="8.85546875" style="1"/>
    <col min="15" max="16" width="8.85546875" style="1" hidden="1" customWidth="1"/>
    <col min="17" max="17" width="26.42578125" style="1" hidden="1" customWidth="1"/>
    <col min="18" max="30" width="11.28515625" style="1" hidden="1" customWidth="1"/>
    <col min="31" max="31" width="23.85546875" style="1" hidden="1" customWidth="1"/>
    <col min="32" max="53" width="11.28515625" style="1" hidden="1" customWidth="1"/>
    <col min="54" max="56" width="8.85546875" style="1" hidden="1" customWidth="1"/>
    <col min="57" max="57" width="8.85546875" style="1" customWidth="1"/>
    <col min="58" max="16384" width="8.85546875" style="1"/>
  </cols>
  <sheetData>
    <row r="1" spans="1:59" ht="12" customHeight="1" x14ac:dyDescent="0.2">
      <c r="A1" s="886" t="s">
        <v>428</v>
      </c>
      <c r="B1" s="886"/>
      <c r="C1" s="886"/>
      <c r="D1" s="886"/>
      <c r="E1" s="886"/>
      <c r="F1" s="886"/>
      <c r="G1" s="886"/>
      <c r="H1" s="886"/>
      <c r="I1" s="886"/>
      <c r="J1" s="886"/>
      <c r="K1" s="886"/>
      <c r="L1" s="886"/>
      <c r="M1" s="886"/>
      <c r="N1" s="2"/>
      <c r="O1" s="2"/>
      <c r="P1" s="2"/>
      <c r="Q1" s="2"/>
      <c r="R1" s="2"/>
      <c r="S1" s="2"/>
      <c r="T1" s="2"/>
      <c r="U1" s="2"/>
      <c r="V1" s="2"/>
      <c r="W1" s="2"/>
      <c r="X1" s="2"/>
      <c r="Y1" s="2"/>
      <c r="Z1" s="2"/>
      <c r="AA1" s="2"/>
      <c r="AB1" s="2"/>
      <c r="AC1" s="2"/>
      <c r="AD1" s="2"/>
      <c r="AE1" s="2"/>
      <c r="AF1" s="2"/>
      <c r="AG1" s="2"/>
    </row>
    <row r="2" spans="1:59" ht="12" customHeight="1" thickBot="1" x14ac:dyDescent="0.25">
      <c r="A2" s="5" t="s">
        <v>37</v>
      </c>
      <c r="B2" s="5"/>
      <c r="C2" s="6"/>
      <c r="D2" s="7"/>
      <c r="E2" s="7"/>
      <c r="F2" s="8"/>
      <c r="G2" s="9"/>
      <c r="H2" s="6"/>
      <c r="I2" s="8"/>
      <c r="J2" s="8"/>
      <c r="K2" s="8"/>
      <c r="L2" s="8"/>
      <c r="M2" s="10" t="s">
        <v>44</v>
      </c>
      <c r="N2" s="2"/>
      <c r="O2" s="2"/>
      <c r="P2" s="275"/>
      <c r="Q2" s="274"/>
      <c r="R2" s="274"/>
      <c r="S2" s="274"/>
      <c r="T2" s="274"/>
      <c r="W2" s="2"/>
      <c r="X2" s="2"/>
      <c r="Y2" s="2"/>
      <c r="Z2" s="2"/>
      <c r="AA2" s="18"/>
    </row>
    <row r="3" spans="1:59" ht="12" customHeight="1" x14ac:dyDescent="0.2">
      <c r="A3" s="11"/>
      <c r="B3" s="11"/>
      <c r="C3" s="12"/>
      <c r="D3" s="15"/>
      <c r="E3" s="15"/>
      <c r="F3" s="12"/>
      <c r="G3" s="273"/>
      <c r="H3" s="12"/>
      <c r="I3" s="12"/>
      <c r="J3" s="12"/>
      <c r="K3" s="12"/>
      <c r="L3" s="12"/>
      <c r="M3" s="273"/>
      <c r="N3" s="2"/>
      <c r="O3" s="2"/>
      <c r="P3" s="275"/>
      <c r="Q3" s="274"/>
      <c r="R3" s="274"/>
      <c r="S3" s="274"/>
      <c r="T3" s="274"/>
      <c r="W3" s="2"/>
      <c r="X3" s="2"/>
      <c r="Y3" s="2"/>
      <c r="Z3" s="2"/>
      <c r="AA3" s="18"/>
    </row>
    <row r="4" spans="1:59" ht="12" customHeight="1" x14ac:dyDescent="0.2">
      <c r="A4" s="893" t="s">
        <v>425</v>
      </c>
      <c r="B4" s="893"/>
      <c r="C4" s="893"/>
      <c r="D4" s="893"/>
      <c r="E4" s="893"/>
      <c r="F4" s="893"/>
      <c r="G4" s="893"/>
      <c r="H4" s="893"/>
      <c r="I4" s="893"/>
      <c r="J4" s="893"/>
      <c r="K4" s="893"/>
      <c r="L4" s="893"/>
      <c r="M4" s="893"/>
      <c r="N4" s="2"/>
      <c r="O4" s="2"/>
      <c r="P4" s="275"/>
      <c r="Q4" s="274"/>
      <c r="R4" s="274"/>
      <c r="S4" s="274"/>
      <c r="T4" s="274"/>
      <c r="W4" s="2"/>
      <c r="X4" s="2"/>
      <c r="Y4" s="2"/>
      <c r="Z4" s="2"/>
      <c r="AA4" s="18"/>
    </row>
    <row r="5" spans="1:59" ht="12" customHeight="1" x14ac:dyDescent="0.2">
      <c r="A5" s="893"/>
      <c r="B5" s="893"/>
      <c r="C5" s="893"/>
      <c r="D5" s="893"/>
      <c r="E5" s="893"/>
      <c r="F5" s="893"/>
      <c r="G5" s="893"/>
      <c r="H5" s="893"/>
      <c r="I5" s="893"/>
      <c r="J5" s="893"/>
      <c r="K5" s="893"/>
      <c r="L5" s="893"/>
      <c r="M5" s="893"/>
      <c r="N5" s="2"/>
      <c r="O5" s="2"/>
      <c r="P5" s="274"/>
      <c r="Q5" s="274"/>
      <c r="R5" s="274"/>
      <c r="S5" s="274"/>
      <c r="T5" s="274"/>
      <c r="W5" s="2"/>
      <c r="X5" s="2"/>
      <c r="Y5" s="2"/>
      <c r="Z5" s="2"/>
      <c r="AA5" s="18"/>
    </row>
    <row r="6" spans="1:59" ht="12" customHeight="1" x14ac:dyDescent="0.2">
      <c r="A6" s="893"/>
      <c r="B6" s="893"/>
      <c r="C6" s="893"/>
      <c r="D6" s="893"/>
      <c r="E6" s="893"/>
      <c r="F6" s="893"/>
      <c r="G6" s="893"/>
      <c r="H6" s="893"/>
      <c r="I6" s="893"/>
      <c r="J6" s="893"/>
      <c r="K6" s="893"/>
      <c r="L6" s="893"/>
      <c r="M6" s="893"/>
      <c r="N6" s="2"/>
      <c r="O6" s="2"/>
      <c r="P6" s="274"/>
      <c r="Q6" s="274"/>
      <c r="R6" s="274"/>
      <c r="S6" s="274"/>
      <c r="T6" s="274"/>
      <c r="W6" s="2"/>
      <c r="X6" s="2"/>
      <c r="Y6" s="2"/>
      <c r="Z6" s="2"/>
      <c r="AA6" s="18"/>
    </row>
    <row r="7" spans="1:59" ht="12" customHeight="1" x14ac:dyDescent="0.2">
      <c r="A7" s="893"/>
      <c r="B7" s="893"/>
      <c r="C7" s="893"/>
      <c r="D7" s="893"/>
      <c r="E7" s="893"/>
      <c r="F7" s="893"/>
      <c r="G7" s="893"/>
      <c r="H7" s="893"/>
      <c r="I7" s="893"/>
      <c r="J7" s="893"/>
      <c r="K7" s="893"/>
      <c r="L7" s="893"/>
      <c r="M7" s="893"/>
      <c r="N7" s="2"/>
      <c r="O7" s="2"/>
      <c r="P7" s="274"/>
      <c r="Q7" s="274"/>
      <c r="R7" s="274"/>
      <c r="S7" s="274"/>
      <c r="T7" s="274"/>
      <c r="W7" s="2"/>
      <c r="X7" s="2"/>
      <c r="Y7" s="2"/>
      <c r="Z7" s="2"/>
      <c r="AA7" s="18"/>
    </row>
    <row r="8" spans="1:59" ht="12" customHeight="1" thickBot="1" x14ac:dyDescent="0.25">
      <c r="A8" s="893"/>
      <c r="B8" s="893"/>
      <c r="C8" s="893"/>
      <c r="D8" s="893"/>
      <c r="E8" s="893"/>
      <c r="F8" s="893"/>
      <c r="G8" s="893"/>
      <c r="H8" s="893"/>
      <c r="I8" s="893"/>
      <c r="J8" s="893"/>
      <c r="K8" s="893"/>
      <c r="L8" s="893"/>
      <c r="M8" s="893"/>
      <c r="N8" s="2"/>
      <c r="O8" s="2"/>
      <c r="P8" s="274"/>
      <c r="Q8" s="274"/>
      <c r="R8" s="274"/>
      <c r="S8" s="274"/>
      <c r="T8" s="274"/>
      <c r="W8" s="2"/>
      <c r="X8" s="2"/>
      <c r="Y8" s="2"/>
      <c r="Z8" s="2"/>
      <c r="AA8" s="18"/>
    </row>
    <row r="9" spans="1:59" ht="12" customHeight="1" thickBot="1" x14ac:dyDescent="0.25">
      <c r="A9" s="14"/>
      <c r="B9" s="14"/>
      <c r="C9" s="15"/>
      <c r="D9" s="16"/>
      <c r="E9" s="16"/>
      <c r="F9" s="16"/>
      <c r="G9" s="16"/>
      <c r="H9" s="16"/>
      <c r="I9" s="16"/>
      <c r="J9" s="2"/>
      <c r="K9" s="2"/>
      <c r="L9" s="2"/>
      <c r="M9" s="2"/>
      <c r="N9" s="2"/>
      <c r="O9" s="2"/>
      <c r="P9" s="970" t="s">
        <v>243</v>
      </c>
      <c r="Q9" s="951"/>
      <c r="R9" s="951"/>
      <c r="S9" s="951"/>
      <c r="T9" s="971"/>
      <c r="U9" s="2"/>
      <c r="V9" s="2"/>
      <c r="W9" s="2"/>
      <c r="X9" s="2"/>
      <c r="Y9" s="2"/>
      <c r="Z9" s="2"/>
      <c r="AA9" s="18"/>
      <c r="AD9" s="697"/>
      <c r="AE9" s="698" t="s">
        <v>903</v>
      </c>
      <c r="AF9" s="699" t="s">
        <v>904</v>
      </c>
      <c r="AG9" s="699" t="s">
        <v>905</v>
      </c>
      <c r="AH9" s="699" t="s">
        <v>906</v>
      </c>
      <c r="AI9" s="699" t="s">
        <v>868</v>
      </c>
      <c r="AJ9" s="699" t="s">
        <v>869</v>
      </c>
      <c r="AK9" s="700" t="s">
        <v>870</v>
      </c>
    </row>
    <row r="10" spans="1:59" ht="12" customHeight="1" thickBot="1" x14ac:dyDescent="0.25">
      <c r="A10" s="2"/>
      <c r="B10" s="2"/>
      <c r="C10" s="3"/>
      <c r="D10" s="3"/>
      <c r="E10" s="276" t="s">
        <v>52</v>
      </c>
      <c r="F10" s="3"/>
      <c r="G10" s="3"/>
      <c r="H10" s="3"/>
      <c r="I10" s="2"/>
      <c r="J10" s="2"/>
      <c r="K10" s="2"/>
      <c r="L10" s="2"/>
      <c r="M10" s="2"/>
      <c r="N10" s="2"/>
      <c r="O10" s="2"/>
      <c r="P10" s="972"/>
      <c r="Q10" s="891"/>
      <c r="R10" s="891"/>
      <c r="S10" s="891"/>
      <c r="T10" s="973"/>
      <c r="U10" s="2"/>
      <c r="V10" s="2"/>
      <c r="W10" s="2"/>
      <c r="X10" s="2"/>
      <c r="Y10" s="2"/>
      <c r="Z10" s="2"/>
      <c r="AA10" s="18"/>
      <c r="AD10" s="701"/>
      <c r="AE10" s="702"/>
      <c r="AF10" s="703" t="s">
        <v>38</v>
      </c>
      <c r="AG10" s="703" t="s">
        <v>38</v>
      </c>
      <c r="AH10" s="703" t="s">
        <v>38</v>
      </c>
      <c r="AI10" s="703" t="s">
        <v>38</v>
      </c>
      <c r="AJ10" s="703" t="s">
        <v>38</v>
      </c>
      <c r="AK10" s="703" t="s">
        <v>38</v>
      </c>
    </row>
    <row r="11" spans="1:59" ht="12" customHeight="1" x14ac:dyDescent="0.2">
      <c r="A11" s="2"/>
      <c r="B11" s="2"/>
      <c r="C11" s="902" t="s">
        <v>180</v>
      </c>
      <c r="D11" s="902"/>
      <c r="E11" s="902"/>
      <c r="F11" s="902"/>
      <c r="G11" s="902"/>
      <c r="H11" s="902"/>
      <c r="I11" s="2"/>
      <c r="J11" s="2"/>
      <c r="K11" s="913" t="s">
        <v>181</v>
      </c>
      <c r="L11" s="913"/>
      <c r="M11" s="913"/>
      <c r="N11" s="2"/>
      <c r="O11" s="2"/>
      <c r="P11" s="95"/>
      <c r="Q11" s="96"/>
      <c r="R11" s="97" t="s">
        <v>33</v>
      </c>
      <c r="S11" s="97"/>
      <c r="T11" s="97"/>
      <c r="U11" s="2"/>
      <c r="V11" s="2"/>
      <c r="W11" s="2"/>
      <c r="X11" s="2"/>
      <c r="Y11" s="2"/>
      <c r="Z11" s="2"/>
      <c r="AA11" s="18"/>
      <c r="AD11" s="704" t="s">
        <v>907</v>
      </c>
      <c r="AE11" s="705"/>
      <c r="AF11" s="706"/>
      <c r="AG11" s="706"/>
      <c r="AH11" s="706"/>
      <c r="AI11" s="706"/>
      <c r="AJ11" s="706"/>
      <c r="AK11" s="706"/>
      <c r="BC11" s="2"/>
      <c r="BD11" s="2"/>
      <c r="BE11" s="2"/>
      <c r="BF11" s="2"/>
      <c r="BG11" s="2"/>
    </row>
    <row r="12" spans="1:59" ht="12" customHeight="1" thickBot="1" x14ac:dyDescent="0.25">
      <c r="A12" s="2"/>
      <c r="B12" s="2"/>
      <c r="C12" s="902"/>
      <c r="D12" s="902"/>
      <c r="E12" s="902"/>
      <c r="F12" s="902"/>
      <c r="G12" s="902"/>
      <c r="H12" s="902"/>
      <c r="I12" s="2"/>
      <c r="J12" s="2"/>
      <c r="K12" s="913"/>
      <c r="L12" s="913"/>
      <c r="M12" s="913"/>
      <c r="N12" s="2"/>
      <c r="O12" s="2"/>
      <c r="P12" s="98" t="s">
        <v>121</v>
      </c>
      <c r="Q12" s="99"/>
      <c r="R12" s="100" t="s">
        <v>122</v>
      </c>
      <c r="S12" s="100" t="s">
        <v>38</v>
      </c>
      <c r="T12" s="99" t="s">
        <v>123</v>
      </c>
      <c r="U12" s="2"/>
      <c r="V12" s="2"/>
      <c r="W12" s="2"/>
      <c r="X12" s="2"/>
      <c r="Y12" s="2"/>
      <c r="Z12" s="2"/>
      <c r="AA12" s="18"/>
      <c r="AD12" s="704" t="s">
        <v>872</v>
      </c>
      <c r="AE12" s="707"/>
      <c r="AF12" s="708">
        <v>450</v>
      </c>
      <c r="AG12" s="708">
        <v>600</v>
      </c>
      <c r="AH12" s="708">
        <v>750</v>
      </c>
      <c r="AI12" s="708">
        <v>1000</v>
      </c>
      <c r="AJ12" s="708">
        <v>1500</v>
      </c>
      <c r="AK12" s="708">
        <v>2000</v>
      </c>
      <c r="AX12" s="12"/>
      <c r="BC12" s="2"/>
      <c r="BD12" s="2"/>
      <c r="BE12" s="2"/>
      <c r="BF12" s="2"/>
      <c r="BG12" s="2"/>
    </row>
    <row r="13" spans="1:59" ht="12" customHeight="1" thickBot="1" x14ac:dyDescent="0.25">
      <c r="A13" s="2"/>
      <c r="B13" s="2"/>
      <c r="C13" s="2"/>
      <c r="D13" s="2"/>
      <c r="E13" s="15"/>
      <c r="F13" s="15"/>
      <c r="G13" s="15"/>
      <c r="H13" s="15"/>
      <c r="I13" s="2"/>
      <c r="J13" s="2"/>
      <c r="K13" s="2"/>
      <c r="L13" s="2"/>
      <c r="M13" s="2"/>
      <c r="N13" s="2"/>
      <c r="O13" s="2"/>
      <c r="P13" s="101" t="s">
        <v>442</v>
      </c>
      <c r="Q13" s="22" t="s">
        <v>452</v>
      </c>
      <c r="R13" s="102">
        <v>1</v>
      </c>
      <c r="S13" s="103">
        <f>IF($G$15&lt;=450,R34,(IF($G$15&lt;=600,R35,(IF($G$15&lt;=750,R36,(IF($G$15&lt;=1000,R37,(IF($G$15&lt;=1500,R38,(IF($G$15&gt;1500,R39)))))))))))</f>
        <v>13500</v>
      </c>
      <c r="T13" s="104">
        <f t="shared" ref="T13:T22" si="0">R13*S13</f>
        <v>13500</v>
      </c>
      <c r="U13" s="2"/>
      <c r="V13" s="2"/>
      <c r="W13" s="2"/>
      <c r="X13" s="2"/>
      <c r="Y13" s="2"/>
      <c r="Z13" s="2"/>
      <c r="AA13" s="18"/>
      <c r="AB13" s="2"/>
      <c r="AD13" s="704" t="s">
        <v>873</v>
      </c>
      <c r="AE13" s="707"/>
      <c r="AF13" s="709">
        <v>151</v>
      </c>
      <c r="AG13" s="709">
        <v>142.875</v>
      </c>
      <c r="AH13" s="709">
        <v>141</v>
      </c>
      <c r="AI13" s="709">
        <v>140.37</v>
      </c>
      <c r="AJ13" s="709">
        <v>127.828</v>
      </c>
      <c r="AK13" s="709">
        <v>119.45399999999999</v>
      </c>
      <c r="AX13" s="12"/>
      <c r="BC13" s="2"/>
      <c r="BD13" s="2"/>
      <c r="BE13" s="2"/>
      <c r="BF13" s="2"/>
      <c r="BG13" s="2"/>
    </row>
    <row r="14" spans="1:59" s="2" customFormat="1" ht="12" customHeight="1" thickBot="1" x14ac:dyDescent="0.25">
      <c r="E14" s="15"/>
      <c r="F14" s="20" t="s">
        <v>45</v>
      </c>
      <c r="G14" s="903" t="s">
        <v>42</v>
      </c>
      <c r="H14" s="904"/>
      <c r="I14" s="768" t="s">
        <v>376</v>
      </c>
      <c r="K14" s="914" t="str">
        <f>G14</f>
        <v>6-8</v>
      </c>
      <c r="L14" s="915"/>
      <c r="M14" s="916"/>
      <c r="P14" s="105" t="s">
        <v>443</v>
      </c>
      <c r="Q14" s="22" t="s">
        <v>453</v>
      </c>
      <c r="R14" s="102">
        <v>1</v>
      </c>
      <c r="S14" s="103">
        <f>IF($G$15&lt;=450,S34,(IF($G$15&lt;=600,S35,(IF($G$15&lt;=750,S36,(IF($G$15&lt;=1000,S37,(IF($G$15&lt;=1500,S38,(IF($G$15&gt;1500,S39)))))))))))</f>
        <v>3300</v>
      </c>
      <c r="T14" s="104">
        <f t="shared" si="0"/>
        <v>3300</v>
      </c>
      <c r="AA14" s="18"/>
      <c r="AD14" s="710" t="s">
        <v>874</v>
      </c>
      <c r="AE14" s="711"/>
      <c r="AF14" s="712">
        <v>67950</v>
      </c>
      <c r="AG14" s="712">
        <v>85725</v>
      </c>
      <c r="AH14" s="712">
        <v>105750</v>
      </c>
      <c r="AI14" s="712">
        <v>140370</v>
      </c>
      <c r="AJ14" s="712">
        <v>191742</v>
      </c>
      <c r="AK14" s="712">
        <v>238908</v>
      </c>
      <c r="AM14" s="699" t="s">
        <v>904</v>
      </c>
      <c r="AN14" s="699" t="s">
        <v>905</v>
      </c>
      <c r="AO14" s="699" t="s">
        <v>906</v>
      </c>
      <c r="AP14" s="713" t="s">
        <v>868</v>
      </c>
      <c r="AQ14" s="714" t="s">
        <v>869</v>
      </c>
      <c r="AR14" s="699" t="s">
        <v>870</v>
      </c>
      <c r="AT14" s="699">
        <v>450</v>
      </c>
      <c r="AU14" s="699">
        <v>600</v>
      </c>
      <c r="AV14" s="699">
        <v>750</v>
      </c>
      <c r="AW14" s="713">
        <v>1000</v>
      </c>
      <c r="AX14" s="714">
        <v>1500</v>
      </c>
      <c r="AY14" s="699">
        <v>2000</v>
      </c>
      <c r="BA14" s="715" t="s">
        <v>910</v>
      </c>
      <c r="BB14" s="714" t="s">
        <v>911</v>
      </c>
    </row>
    <row r="15" spans="1:59" s="2" customFormat="1" ht="12" customHeight="1" x14ac:dyDescent="0.2">
      <c r="C15" s="23"/>
      <c r="D15" s="15"/>
      <c r="E15" s="15"/>
      <c r="F15" s="89" t="s">
        <v>369</v>
      </c>
      <c r="G15" s="905">
        <v>450</v>
      </c>
      <c r="H15" s="906"/>
      <c r="I15" s="768" t="s">
        <v>377</v>
      </c>
      <c r="K15" s="941">
        <f>G15</f>
        <v>450</v>
      </c>
      <c r="L15" s="942"/>
      <c r="M15" s="943"/>
      <c r="P15" s="105" t="s">
        <v>444</v>
      </c>
      <c r="Q15" s="22" t="s">
        <v>454</v>
      </c>
      <c r="R15" s="102">
        <v>1</v>
      </c>
      <c r="S15" s="103">
        <f>IF($G$15&lt;=450,T34,(IF($G$15&lt;=600,T35,(IF($G$15&lt;=750,T36,(IF($G$15&lt;=1000,T37,(IF($G$15&lt;=1500,T38,(IF($G$15&gt;1500,T39)))))))))))</f>
        <v>1000</v>
      </c>
      <c r="T15" s="104">
        <f t="shared" si="0"/>
        <v>1000</v>
      </c>
      <c r="AA15" s="18"/>
      <c r="AD15" s="716" t="s">
        <v>14</v>
      </c>
      <c r="AE15" s="717"/>
      <c r="AF15" s="718"/>
      <c r="AG15" s="718"/>
      <c r="AH15" s="718"/>
      <c r="AI15" s="718"/>
      <c r="AJ15" s="718"/>
      <c r="AK15" s="718"/>
      <c r="AQ15" s="570"/>
      <c r="AX15" s="570"/>
      <c r="BB15" s="570"/>
    </row>
    <row r="16" spans="1:59" s="2" customFormat="1" ht="12" customHeight="1" x14ac:dyDescent="0.2">
      <c r="F16" s="84" t="s">
        <v>370</v>
      </c>
      <c r="G16" s="882">
        <f ca="1">IF(G15="","",G17/G15)</f>
        <v>151</v>
      </c>
      <c r="H16" s="883"/>
      <c r="I16" s="382"/>
      <c r="K16" s="944"/>
      <c r="L16" s="944"/>
      <c r="M16" s="944"/>
      <c r="P16" s="105" t="s">
        <v>445</v>
      </c>
      <c r="Q16" s="22" t="s">
        <v>255</v>
      </c>
      <c r="R16" s="102">
        <v>1</v>
      </c>
      <c r="S16" s="103">
        <f>IF($G$15&lt;=450,U34,(IF($G$15&lt;=600,U35,(IF($G$15&lt;=750,U36,(IF($G$15&lt;=1000,U37,(IF($G$15&lt;=1500,U38,(IF($G$15&gt;1500,U39)))))))))))</f>
        <v>900</v>
      </c>
      <c r="T16" s="104">
        <f t="shared" si="0"/>
        <v>900</v>
      </c>
      <c r="AA16" s="18"/>
      <c r="AD16" s="704" t="s">
        <v>15</v>
      </c>
      <c r="AE16" s="719" t="s">
        <v>16</v>
      </c>
      <c r="AF16" s="720">
        <v>19480</v>
      </c>
      <c r="AG16" s="720">
        <v>25980.01</v>
      </c>
      <c r="AH16" s="720">
        <v>31380.01</v>
      </c>
      <c r="AI16" s="720">
        <v>41980</v>
      </c>
      <c r="AJ16" s="720">
        <v>60940</v>
      </c>
      <c r="AK16" s="720">
        <v>79510</v>
      </c>
      <c r="AM16" s="721">
        <f>AF16+AF17+AF19+AF20+AF21+AF22+AF23+AF25</f>
        <v>32585</v>
      </c>
      <c r="AN16" s="721">
        <f t="shared" ref="AN16:AQ16" si="1">AG16+AG17+AG19+AG20+AG21+AG22+AG23+AG25</f>
        <v>43063.009999999995</v>
      </c>
      <c r="AO16" s="721">
        <f t="shared" si="1"/>
        <v>54646.509999999995</v>
      </c>
      <c r="AP16" s="721">
        <f t="shared" si="1"/>
        <v>70690</v>
      </c>
      <c r="AQ16" s="722">
        <f t="shared" si="1"/>
        <v>99340</v>
      </c>
      <c r="AR16" s="721">
        <f>AK16+AK17+AK19+AK20+AK21+AK22+AK23+AK25</f>
        <v>127010</v>
      </c>
      <c r="AT16" s="554">
        <f>AM16/$AT$14</f>
        <v>72.411111111111111</v>
      </c>
      <c r="AU16" s="554">
        <f>AN16/$AU$14</f>
        <v>71.771683333333328</v>
      </c>
      <c r="AV16" s="554">
        <f>AO16/$AV$14</f>
        <v>72.862013333333323</v>
      </c>
      <c r="AW16" s="554">
        <f>AP16/$AW$14</f>
        <v>70.69</v>
      </c>
      <c r="AX16" s="571">
        <f>AQ16/$AX$14</f>
        <v>66.226666666666674</v>
      </c>
      <c r="AY16" s="554">
        <f>AR16/$AY$14</f>
        <v>63.505000000000003</v>
      </c>
      <c r="BA16" s="554">
        <f>(AT16+AU16+AV16+AW16)/4</f>
        <v>71.933701944444437</v>
      </c>
      <c r="BB16" s="571">
        <f>(AX16+AY16)/2</f>
        <v>64.865833333333342</v>
      </c>
    </row>
    <row r="17" spans="1:54" s="2" customFormat="1" ht="12" customHeight="1" x14ac:dyDescent="0.2">
      <c r="F17" s="85" t="s">
        <v>427</v>
      </c>
      <c r="G17" s="985">
        <f ca="1">DNPBracketing!E28</f>
        <v>67950</v>
      </c>
      <c r="H17" s="985"/>
      <c r="I17" s="382"/>
      <c r="J17" s="52"/>
      <c r="K17" s="917"/>
      <c r="L17" s="917"/>
      <c r="M17" s="917"/>
      <c r="P17" s="105" t="s">
        <v>446</v>
      </c>
      <c r="Q17" s="22" t="s">
        <v>257</v>
      </c>
      <c r="R17" s="106">
        <v>1</v>
      </c>
      <c r="S17" s="103">
        <f>IF($G$15&lt;=450,V34,(IF($G$15&lt;=600,V35,(IF($G$15&lt;=750,V36,(IF($G$15&lt;=1000,V37,(IF($G$15&lt;=1500,V38,(IF($G$15&gt;1500,V39)))))))))))</f>
        <v>180</v>
      </c>
      <c r="T17" s="104">
        <f t="shared" si="0"/>
        <v>180</v>
      </c>
      <c r="AA17" s="18"/>
      <c r="AD17" s="704" t="s">
        <v>17</v>
      </c>
      <c r="AE17" s="719" t="s">
        <v>18</v>
      </c>
      <c r="AF17" s="720">
        <v>1750</v>
      </c>
      <c r="AG17" s="720">
        <v>2350</v>
      </c>
      <c r="AH17" s="720">
        <v>3700</v>
      </c>
      <c r="AI17" s="720">
        <v>4000</v>
      </c>
      <c r="AJ17" s="720">
        <v>4900</v>
      </c>
      <c r="AK17" s="720">
        <v>6650</v>
      </c>
      <c r="AM17" s="535"/>
      <c r="AN17" s="535"/>
      <c r="AO17" s="535"/>
      <c r="AP17" s="535"/>
      <c r="AQ17" s="572"/>
      <c r="AR17" s="535"/>
      <c r="AX17" s="570"/>
      <c r="BB17" s="570"/>
    </row>
    <row r="18" spans="1:54" s="2" customFormat="1" ht="12" customHeight="1" x14ac:dyDescent="0.2">
      <c r="C18" s="253" t="s">
        <v>368</v>
      </c>
      <c r="G18" s="986">
        <f>IF(I18=1,0,IF(G15=350,((SUM(G21:G24)-T345)*0.0175),IF(G15&gt;=1000,((SUM(G21:G24)-T345)*0.0125),((SUM(G21:G24)-T345)*(((-0.0008*G15)+2.012)/100)))))</f>
        <v>0</v>
      </c>
      <c r="H18" s="986"/>
      <c r="I18" s="767">
        <v>1</v>
      </c>
      <c r="P18" s="105" t="s">
        <v>447</v>
      </c>
      <c r="Q18" s="22" t="s">
        <v>259</v>
      </c>
      <c r="R18" s="106">
        <v>1</v>
      </c>
      <c r="S18" s="103">
        <f>IF($G$15&lt;=450,W34,(IF($G$15&lt;=600,W35,(IF($G$15&lt;=750,W36,(IF($G$15&lt;=1000,W37,(IF($G$15&lt;=1500,W38,(IF($G$15&gt;1500,W39)))))))))))</f>
        <v>600</v>
      </c>
      <c r="T18" s="104">
        <f t="shared" si="0"/>
        <v>600</v>
      </c>
      <c r="AA18" s="18"/>
      <c r="AD18" s="704" t="s">
        <v>19</v>
      </c>
      <c r="AE18" s="694" t="s">
        <v>20</v>
      </c>
      <c r="AF18" s="720">
        <v>2282</v>
      </c>
      <c r="AG18" s="720">
        <v>2750</v>
      </c>
      <c r="AH18" s="720">
        <v>3380</v>
      </c>
      <c r="AI18" s="720">
        <v>4190</v>
      </c>
      <c r="AJ18" s="720">
        <v>5530</v>
      </c>
      <c r="AK18" s="720">
        <v>6140</v>
      </c>
      <c r="AM18" s="723">
        <f>AF18</f>
        <v>2282</v>
      </c>
      <c r="AN18" s="723">
        <f t="shared" ref="AN18:AR18" si="2">AG18</f>
        <v>2750</v>
      </c>
      <c r="AO18" s="723">
        <f t="shared" si="2"/>
        <v>3380</v>
      </c>
      <c r="AP18" s="723">
        <f t="shared" si="2"/>
        <v>4190</v>
      </c>
      <c r="AQ18" s="724">
        <f t="shared" si="2"/>
        <v>5530</v>
      </c>
      <c r="AR18" s="723">
        <f t="shared" si="2"/>
        <v>6140</v>
      </c>
      <c r="AT18" s="554"/>
      <c r="AU18" s="554"/>
      <c r="AV18" s="554"/>
      <c r="AW18" s="554"/>
      <c r="AX18" s="571"/>
      <c r="AY18" s="554"/>
      <c r="BB18" s="571"/>
    </row>
    <row r="19" spans="1:54" s="2" customFormat="1" ht="12" customHeight="1" thickBot="1" x14ac:dyDescent="0.25">
      <c r="C19" s="558"/>
      <c r="D19" s="15"/>
      <c r="E19" s="15"/>
      <c r="F19" s="85" t="s">
        <v>371</v>
      </c>
      <c r="G19" s="884">
        <f ca="1">G17+G18</f>
        <v>67950</v>
      </c>
      <c r="H19" s="884"/>
      <c r="I19" s="651">
        <f ca="1">G17/1.11</f>
        <v>61216.216216216213</v>
      </c>
      <c r="P19" s="105" t="s">
        <v>448</v>
      </c>
      <c r="Q19" s="22" t="s">
        <v>261</v>
      </c>
      <c r="R19" s="106">
        <v>1</v>
      </c>
      <c r="S19" s="103">
        <f>IF($G$15&lt;=450,X34,(IF($G$15&lt;=600,X35,(IF($G$15&lt;=750,X36,(IF($G$15&lt;=1000,X37,(IF($G$15&lt;=1500,X38,(IF($G$15&gt;1500,X39)))))))))))</f>
        <v>0</v>
      </c>
      <c r="T19" s="104">
        <f t="shared" si="0"/>
        <v>0</v>
      </c>
      <c r="AD19" s="704" t="s">
        <v>21</v>
      </c>
      <c r="AE19" s="719" t="s">
        <v>22</v>
      </c>
      <c r="AF19" s="720">
        <v>2755</v>
      </c>
      <c r="AG19" s="720">
        <v>3433</v>
      </c>
      <c r="AH19" s="720">
        <v>4105</v>
      </c>
      <c r="AI19" s="720">
        <v>4980</v>
      </c>
      <c r="AJ19" s="720">
        <v>6870</v>
      </c>
      <c r="AK19" s="720">
        <v>8620</v>
      </c>
      <c r="AM19" s="535"/>
      <c r="AN19" s="535"/>
      <c r="AO19" s="535"/>
      <c r="AP19" s="535"/>
      <c r="AQ19" s="572"/>
      <c r="AR19" s="535"/>
      <c r="AX19" s="570"/>
      <c r="BB19" s="570"/>
    </row>
    <row r="20" spans="1:54" s="2" customFormat="1" ht="12" customHeight="1" thickBot="1" x14ac:dyDescent="0.25">
      <c r="C20" s="559" t="s">
        <v>43</v>
      </c>
      <c r="D20" s="560"/>
      <c r="E20" s="560"/>
      <c r="F20" s="561"/>
      <c r="G20" s="562" t="s">
        <v>38</v>
      </c>
      <c r="H20" s="563"/>
      <c r="I20" s="382"/>
      <c r="P20" s="108" t="s">
        <v>451</v>
      </c>
      <c r="Q20" s="109" t="s">
        <v>261</v>
      </c>
      <c r="R20" s="106">
        <v>1</v>
      </c>
      <c r="S20" s="103">
        <f>IF($G$15&lt;=450,Y34,(IF($G$15&lt;=600,Y35,(IF($G$15&lt;=750,Y36,(IF($G$15&lt;=1000,Y37,(IF($G$15&lt;=1500,Y38,(IF($G$15&gt;1500,Y39)))))))))))</f>
        <v>0</v>
      </c>
      <c r="T20" s="104">
        <f t="shared" si="0"/>
        <v>0</v>
      </c>
      <c r="U20" s="17" t="s">
        <v>41</v>
      </c>
      <c r="AD20" s="704" t="s">
        <v>26</v>
      </c>
      <c r="AE20" s="719" t="s">
        <v>27</v>
      </c>
      <c r="AF20" s="720">
        <v>1400</v>
      </c>
      <c r="AG20" s="720">
        <v>1450</v>
      </c>
      <c r="AH20" s="720">
        <v>2700</v>
      </c>
      <c r="AI20" s="720">
        <v>2900</v>
      </c>
      <c r="AJ20" s="720">
        <v>4250</v>
      </c>
      <c r="AK20" s="720">
        <v>5600</v>
      </c>
      <c r="AM20" s="535"/>
      <c r="AN20" s="535"/>
      <c r="AO20" s="535"/>
      <c r="AP20" s="535"/>
      <c r="AQ20" s="572"/>
      <c r="AR20" s="535"/>
      <c r="AX20" s="570"/>
      <c r="BB20" s="570"/>
    </row>
    <row r="21" spans="1:54" s="2" customFormat="1" ht="27" customHeight="1" x14ac:dyDescent="0.2">
      <c r="C21" s="929" t="s">
        <v>431</v>
      </c>
      <c r="D21" s="930"/>
      <c r="E21" s="930"/>
      <c r="F21" s="931"/>
      <c r="G21" s="555">
        <f>IF(G15&lt;=450,G15*AT16,IF(G15&lt;=600,G15*AU16,IF(G15&lt;=750,G15*AV16,IF(G15&lt;=1000,G15*AW16,IF(G15&lt;=1500,G15*AX16,IF(G15&lt;=2000,G15*AY16,IF(G15&gt;2000,G15*AY16)))))))</f>
        <v>32585</v>
      </c>
      <c r="H21" s="81" t="s">
        <v>48</v>
      </c>
      <c r="I21" s="768" t="s">
        <v>378</v>
      </c>
      <c r="J21" s="52"/>
      <c r="K21" s="961">
        <f>G44+G45+G47+G48+G49+G53+G50+G51</f>
        <v>0</v>
      </c>
      <c r="L21" s="962"/>
      <c r="M21" s="963"/>
      <c r="P21" s="108" t="s">
        <v>449</v>
      </c>
      <c r="Q21" s="109" t="s">
        <v>263</v>
      </c>
      <c r="R21" s="106">
        <v>1</v>
      </c>
      <c r="S21" s="103">
        <f>IF($G$15&lt;=450,Z34,(IF($G$15&lt;=600,Z35,(IF($G$15&lt;=750,Z36,(IF($G$15&lt;=1000,Z37,(IF($G$15&lt;=1500,Z38,(IF($G$15&gt;1500,Z39)))))))))))</f>
        <v>0</v>
      </c>
      <c r="T21" s="104">
        <f t="shared" si="0"/>
        <v>0</v>
      </c>
      <c r="U21" s="17" t="s">
        <v>41</v>
      </c>
      <c r="AD21" s="704" t="s">
        <v>28</v>
      </c>
      <c r="AE21" s="719" t="s">
        <v>29</v>
      </c>
      <c r="AF21" s="720">
        <v>1600</v>
      </c>
      <c r="AG21" s="720">
        <v>2900</v>
      </c>
      <c r="AH21" s="720">
        <v>3000</v>
      </c>
      <c r="AI21" s="720">
        <v>4400</v>
      </c>
      <c r="AJ21" s="720">
        <v>5800</v>
      </c>
      <c r="AK21" s="720">
        <v>5800</v>
      </c>
      <c r="AM21" s="535"/>
      <c r="AN21" s="535"/>
      <c r="AO21" s="535"/>
      <c r="AP21" s="535"/>
      <c r="AQ21" s="572"/>
      <c r="AR21" s="535"/>
      <c r="AX21" s="570"/>
      <c r="BB21" s="570"/>
    </row>
    <row r="22" spans="1:54" s="2" customFormat="1" ht="12" customHeight="1" x14ac:dyDescent="0.2">
      <c r="C22" s="932" t="s">
        <v>20</v>
      </c>
      <c r="D22" s="933"/>
      <c r="E22" s="933"/>
      <c r="F22" s="934"/>
      <c r="G22" s="531">
        <f>T192</f>
        <v>2282</v>
      </c>
      <c r="H22" s="31"/>
      <c r="I22" s="768" t="s">
        <v>379</v>
      </c>
      <c r="J22" s="52"/>
      <c r="K22" s="964">
        <f>G46</f>
        <v>0</v>
      </c>
      <c r="L22" s="965"/>
      <c r="M22" s="966"/>
      <c r="P22" s="108" t="s">
        <v>450</v>
      </c>
      <c r="Q22" s="109" t="s">
        <v>265</v>
      </c>
      <c r="R22" s="106">
        <v>1</v>
      </c>
      <c r="S22" s="103">
        <f>IF($G$15&lt;=450,AA34,(IF($G$15&lt;=600,AA35,(IF($G$15&lt;=750,AA36,(IF($G$15&lt;=1000,AA37,(IF($G$15&lt;=1500,AA38,(IF($G$15&gt;1500,AA39)))))))))))</f>
        <v>0</v>
      </c>
      <c r="T22" s="112">
        <f t="shared" si="0"/>
        <v>0</v>
      </c>
      <c r="U22" s="17" t="s">
        <v>41</v>
      </c>
      <c r="AA22" s="18"/>
      <c r="AD22" s="704" t="s">
        <v>30</v>
      </c>
      <c r="AE22" s="719" t="s">
        <v>31</v>
      </c>
      <c r="AF22" s="720">
        <v>1450</v>
      </c>
      <c r="AG22" s="720">
        <v>1450</v>
      </c>
      <c r="AH22" s="720">
        <v>2750</v>
      </c>
      <c r="AI22" s="720">
        <v>4050</v>
      </c>
      <c r="AJ22" s="720">
        <v>4200</v>
      </c>
      <c r="AK22" s="720">
        <v>5600</v>
      </c>
      <c r="AM22" s="535"/>
      <c r="AN22" s="535"/>
      <c r="AO22" s="535"/>
      <c r="AP22" s="535"/>
      <c r="AQ22" s="572"/>
      <c r="AR22" s="535"/>
      <c r="AX22" s="570"/>
      <c r="BB22" s="570"/>
    </row>
    <row r="23" spans="1:54" s="2" customFormat="1" ht="12" customHeight="1" x14ac:dyDescent="0.2">
      <c r="C23" s="935" t="s">
        <v>2</v>
      </c>
      <c r="D23" s="936"/>
      <c r="E23" s="936"/>
      <c r="F23" s="937"/>
      <c r="G23" s="531">
        <f>T218</f>
        <v>9300</v>
      </c>
      <c r="H23" s="82" t="s">
        <v>47</v>
      </c>
      <c r="I23" s="768" t="s">
        <v>380</v>
      </c>
      <c r="J23" s="52"/>
      <c r="K23" s="919">
        <f>G52</f>
        <v>0</v>
      </c>
      <c r="L23" s="920"/>
      <c r="M23" s="921"/>
      <c r="P23" s="101"/>
      <c r="Q23" s="22"/>
      <c r="R23" s="80"/>
      <c r="S23" s="80"/>
      <c r="T23" s="73"/>
      <c r="AA23" s="18"/>
      <c r="AD23" s="704" t="s">
        <v>32</v>
      </c>
      <c r="AE23" s="719" t="s">
        <v>0</v>
      </c>
      <c r="AF23" s="720">
        <v>0</v>
      </c>
      <c r="AG23" s="720">
        <v>1200</v>
      </c>
      <c r="AH23" s="720">
        <v>1200</v>
      </c>
      <c r="AI23" s="720">
        <v>1200</v>
      </c>
      <c r="AJ23" s="720">
        <v>2400</v>
      </c>
      <c r="AK23" s="720">
        <v>2400</v>
      </c>
      <c r="AM23" s="535"/>
      <c r="AN23" s="535"/>
      <c r="AO23" s="535"/>
      <c r="AP23" s="535"/>
      <c r="AQ23" s="572"/>
      <c r="AR23" s="535"/>
      <c r="AX23" s="570"/>
      <c r="BB23" s="570"/>
    </row>
    <row r="24" spans="1:54" s="2" customFormat="1" ht="12" customHeight="1" thickBot="1" x14ac:dyDescent="0.25">
      <c r="C24" s="938" t="s">
        <v>46</v>
      </c>
      <c r="D24" s="939"/>
      <c r="E24" s="939"/>
      <c r="F24" s="940"/>
      <c r="G24" s="531">
        <f ca="1">I19-(G21+G22+G23)</f>
        <v>17049.216216216213</v>
      </c>
      <c r="H24" s="31"/>
      <c r="I24" s="768" t="s">
        <v>381</v>
      </c>
      <c r="J24" s="52"/>
      <c r="K24" s="922">
        <f>G54+G55+G56</f>
        <v>0</v>
      </c>
      <c r="L24" s="923"/>
      <c r="M24" s="924"/>
      <c r="P24" s="113" t="s">
        <v>266</v>
      </c>
      <c r="Q24" s="114"/>
      <c r="R24" s="115"/>
      <c r="S24" s="115"/>
      <c r="T24" s="116">
        <f>SUM(T13:T22)</f>
        <v>19480</v>
      </c>
      <c r="W24" s="117"/>
      <c r="X24" s="117"/>
      <c r="Y24" s="117"/>
      <c r="Z24" s="117"/>
      <c r="AA24" s="117"/>
      <c r="AD24" s="704" t="s">
        <v>1</v>
      </c>
      <c r="AE24" s="695" t="s">
        <v>2</v>
      </c>
      <c r="AF24" s="720">
        <v>9300</v>
      </c>
      <c r="AG24" s="720">
        <v>9825</v>
      </c>
      <c r="AH24" s="720">
        <v>10600</v>
      </c>
      <c r="AI24" s="720">
        <v>16575</v>
      </c>
      <c r="AJ24" s="720">
        <v>20050</v>
      </c>
      <c r="AK24" s="720">
        <v>22250</v>
      </c>
      <c r="AM24" s="725">
        <f>AF24</f>
        <v>9300</v>
      </c>
      <c r="AN24" s="725">
        <f t="shared" ref="AN24:AR24" si="3">AG24</f>
        <v>9825</v>
      </c>
      <c r="AO24" s="725">
        <f t="shared" si="3"/>
        <v>10600</v>
      </c>
      <c r="AP24" s="725">
        <f t="shared" si="3"/>
        <v>16575</v>
      </c>
      <c r="AQ24" s="726">
        <f t="shared" si="3"/>
        <v>20050</v>
      </c>
      <c r="AR24" s="725">
        <f t="shared" si="3"/>
        <v>22250</v>
      </c>
      <c r="AT24" s="554"/>
      <c r="AU24" s="554"/>
      <c r="AV24" s="554"/>
      <c r="AW24" s="554"/>
      <c r="AX24" s="571"/>
      <c r="AY24" s="554"/>
      <c r="BB24" s="571"/>
    </row>
    <row r="25" spans="1:54" s="2" customFormat="1" ht="12" customHeight="1" thickTop="1" thickBot="1" x14ac:dyDescent="0.25">
      <c r="C25" s="33"/>
      <c r="D25" s="34"/>
      <c r="E25" s="34"/>
      <c r="F25" s="35"/>
      <c r="G25" s="36"/>
      <c r="H25" s="37"/>
      <c r="I25" s="30"/>
      <c r="J25" s="15"/>
      <c r="P25" s="117"/>
      <c r="Q25" s="117"/>
      <c r="R25" s="117"/>
      <c r="S25" s="117"/>
      <c r="T25" s="117"/>
      <c r="U25" s="117"/>
      <c r="V25" s="117"/>
      <c r="W25" s="117"/>
      <c r="X25" s="117"/>
      <c r="Y25" s="117"/>
      <c r="Z25" s="117"/>
      <c r="AA25" s="117"/>
      <c r="AD25" s="704" t="s">
        <v>3</v>
      </c>
      <c r="AE25" s="719" t="s">
        <v>4</v>
      </c>
      <c r="AF25" s="720">
        <v>4150</v>
      </c>
      <c r="AG25" s="720">
        <v>4300</v>
      </c>
      <c r="AH25" s="720">
        <v>5811.5</v>
      </c>
      <c r="AI25" s="720">
        <v>7180</v>
      </c>
      <c r="AJ25" s="720">
        <v>9980</v>
      </c>
      <c r="AK25" s="720">
        <v>12830</v>
      </c>
      <c r="AM25" s="535"/>
      <c r="AN25" s="535"/>
      <c r="AO25" s="535"/>
      <c r="AP25" s="535"/>
      <c r="AQ25" s="572"/>
      <c r="AR25" s="535"/>
      <c r="AX25" s="570"/>
      <c r="BB25" s="570"/>
    </row>
    <row r="26" spans="1:54" s="2" customFormat="1" ht="12" customHeight="1" thickBot="1" x14ac:dyDescent="0.25">
      <c r="C26" s="38"/>
      <c r="D26" s="39"/>
      <c r="E26" s="39"/>
      <c r="F26" s="258" t="s">
        <v>402</v>
      </c>
      <c r="G26" s="907">
        <f ca="1">SUM(G21:G24)</f>
        <v>61216.216216216213</v>
      </c>
      <c r="H26" s="908"/>
      <c r="I26" s="15"/>
      <c r="J26" s="15"/>
      <c r="K26" s="907">
        <f>SUM(K21:M25)</f>
        <v>0</v>
      </c>
      <c r="L26" s="925"/>
      <c r="M26" s="908"/>
      <c r="P26" s="967" t="s">
        <v>267</v>
      </c>
      <c r="Q26" s="968"/>
      <c r="R26" s="968"/>
      <c r="S26" s="968"/>
      <c r="T26" s="968"/>
      <c r="U26" s="968"/>
      <c r="V26" s="969"/>
      <c r="W26" s="117"/>
      <c r="X26" s="117"/>
      <c r="Y26" s="117"/>
      <c r="Z26" s="117"/>
      <c r="AA26" s="117"/>
      <c r="AD26" s="704" t="s">
        <v>5</v>
      </c>
      <c r="AE26" s="696" t="s">
        <v>6</v>
      </c>
      <c r="AF26" s="720">
        <v>1790</v>
      </c>
      <c r="AG26" s="720">
        <v>2315</v>
      </c>
      <c r="AH26" s="720">
        <v>2840</v>
      </c>
      <c r="AI26" s="720">
        <v>3855</v>
      </c>
      <c r="AJ26" s="720">
        <v>5605</v>
      </c>
      <c r="AK26" s="720">
        <v>7355</v>
      </c>
      <c r="AM26" s="727">
        <f>AF26+AF27+AF28</f>
        <v>17050.128000000001</v>
      </c>
      <c r="AN26" s="727">
        <f t="shared" ref="AN26:AR26" si="4">AG26+AG27+AG28</f>
        <v>21591.315039999998</v>
      </c>
      <c r="AO26" s="727">
        <f t="shared" si="4"/>
        <v>26643.819040000002</v>
      </c>
      <c r="AP26" s="727">
        <f t="shared" si="4"/>
        <v>35004.04</v>
      </c>
      <c r="AQ26" s="728">
        <f t="shared" si="4"/>
        <v>47820.2</v>
      </c>
      <c r="AR26" s="727">
        <f t="shared" si="4"/>
        <v>59832.12</v>
      </c>
      <c r="AT26" s="554">
        <f>AM26/$AT$14</f>
        <v>37.889173333333332</v>
      </c>
      <c r="AU26" s="554">
        <f>AN26/$AU$14</f>
        <v>35.985525066666661</v>
      </c>
      <c r="AV26" s="554">
        <f>AO26/$AV$14</f>
        <v>35.525092053333339</v>
      </c>
      <c r="AW26" s="554">
        <f>AP26/$AW$14</f>
        <v>35.004040000000003</v>
      </c>
      <c r="AX26" s="571">
        <f>AQ26/$AX$14</f>
        <v>31.88013333333333</v>
      </c>
      <c r="AY26" s="554">
        <f>AR26/$AY$14</f>
        <v>29.916060000000002</v>
      </c>
      <c r="BA26" s="554">
        <f>(AT26+AU26+AV26+AW26)/4</f>
        <v>36.100957613333335</v>
      </c>
      <c r="BB26" s="571">
        <f>(AX26+AY26)/2</f>
        <v>30.898096666666667</v>
      </c>
    </row>
    <row r="27" spans="1:54" s="2" customFormat="1" ht="12" customHeight="1" thickBot="1" x14ac:dyDescent="0.25">
      <c r="C27" s="38"/>
      <c r="D27" s="39"/>
      <c r="E27" s="39"/>
      <c r="F27" s="40" t="s">
        <v>429</v>
      </c>
      <c r="G27" s="909">
        <v>0.11</v>
      </c>
      <c r="H27" s="910"/>
      <c r="I27" s="15"/>
      <c r="J27" s="15"/>
      <c r="K27" s="909"/>
      <c r="L27" s="926"/>
      <c r="M27" s="910"/>
      <c r="P27" s="118" t="s">
        <v>23</v>
      </c>
      <c r="Q27" s="119" t="s">
        <v>24</v>
      </c>
      <c r="R27" s="120"/>
      <c r="S27" s="120"/>
      <c r="T27" s="120"/>
      <c r="U27" s="120"/>
      <c r="V27" s="121"/>
      <c r="W27" s="122"/>
      <c r="X27" s="122"/>
      <c r="Y27" s="122"/>
      <c r="Z27" s="122"/>
      <c r="AA27" s="117"/>
      <c r="AD27" s="704" t="s">
        <v>7</v>
      </c>
      <c r="AE27" s="696" t="s">
        <v>8</v>
      </c>
      <c r="AF27" s="720">
        <v>300</v>
      </c>
      <c r="AG27" s="720">
        <v>400</v>
      </c>
      <c r="AH27" s="720">
        <v>500</v>
      </c>
      <c r="AI27" s="720">
        <v>700</v>
      </c>
      <c r="AJ27" s="720">
        <v>900</v>
      </c>
      <c r="AK27" s="720">
        <v>900</v>
      </c>
      <c r="AM27" s="565"/>
      <c r="AN27" s="565"/>
      <c r="AO27" s="565"/>
      <c r="AP27" s="565"/>
      <c r="AQ27" s="573"/>
      <c r="AR27" s="565"/>
      <c r="AX27" s="15"/>
    </row>
    <row r="28" spans="1:54" s="2" customFormat="1" ht="12" customHeight="1" thickBot="1" x14ac:dyDescent="0.25">
      <c r="C28" s="41"/>
      <c r="D28" s="42"/>
      <c r="E28" s="42"/>
      <c r="F28" s="259" t="s">
        <v>373</v>
      </c>
      <c r="G28" s="911">
        <f ca="1">(G26*G27)+G26</f>
        <v>67950</v>
      </c>
      <c r="H28" s="912"/>
      <c r="I28" s="15"/>
      <c r="J28" s="15"/>
      <c r="K28" s="911">
        <f>G59</f>
        <v>0</v>
      </c>
      <c r="L28" s="927"/>
      <c r="M28" s="912"/>
      <c r="P28" s="123">
        <v>1</v>
      </c>
      <c r="Q28" s="124" t="s">
        <v>455</v>
      </c>
      <c r="R28" s="125"/>
      <c r="S28" s="125"/>
      <c r="T28" s="125"/>
      <c r="U28" s="125"/>
      <c r="V28" s="126"/>
      <c r="W28" s="122"/>
      <c r="X28" s="122"/>
      <c r="Y28" s="122"/>
      <c r="Z28" s="122"/>
      <c r="AA28" s="117"/>
      <c r="AD28" s="704" t="s">
        <v>9</v>
      </c>
      <c r="AE28" s="696" t="s">
        <v>10</v>
      </c>
      <c r="AF28" s="729">
        <v>14960.128000000001</v>
      </c>
      <c r="AG28" s="729">
        <v>18876.315039999998</v>
      </c>
      <c r="AH28" s="729">
        <v>23303.819040000002</v>
      </c>
      <c r="AI28" s="729">
        <v>30449.040000000001</v>
      </c>
      <c r="AJ28" s="729">
        <v>41315.199999999997</v>
      </c>
      <c r="AK28" s="729">
        <v>51577.120000000003</v>
      </c>
      <c r="AM28" s="515"/>
      <c r="AN28" s="515"/>
      <c r="AO28" s="515"/>
      <c r="AP28" s="515"/>
      <c r="AQ28" s="573"/>
      <c r="AR28" s="515"/>
    </row>
    <row r="29" spans="1:54" s="2" customFormat="1" ht="12" customHeight="1" x14ac:dyDescent="0.2">
      <c r="C29" s="15"/>
      <c r="D29" s="15"/>
      <c r="E29" s="15"/>
      <c r="F29" s="43"/>
      <c r="G29" s="459"/>
      <c r="H29" s="459"/>
      <c r="I29" s="15"/>
      <c r="J29" s="15"/>
      <c r="P29" s="123"/>
      <c r="Q29" s="127" t="s">
        <v>423</v>
      </c>
      <c r="R29" s="128"/>
      <c r="S29" s="128"/>
      <c r="T29" s="128"/>
      <c r="U29" s="128"/>
      <c r="V29" s="129"/>
      <c r="W29" s="122"/>
      <c r="X29" s="122"/>
      <c r="Y29" s="122"/>
      <c r="Z29" s="122"/>
      <c r="AA29" s="117"/>
      <c r="AD29" s="710" t="s">
        <v>875</v>
      </c>
      <c r="AE29" s="705"/>
      <c r="AF29" s="730">
        <v>61217.127999999997</v>
      </c>
      <c r="AG29" s="730">
        <v>77229.325039999996</v>
      </c>
      <c r="AH29" s="730">
        <v>95270.329039999997</v>
      </c>
      <c r="AI29" s="730">
        <v>126459.04000000001</v>
      </c>
      <c r="AJ29" s="730">
        <v>172740.2</v>
      </c>
      <c r="AK29" s="730">
        <v>215232.12</v>
      </c>
      <c r="AM29" s="566">
        <f>SUM(AM16:AM28)</f>
        <v>61217.127999999997</v>
      </c>
      <c r="AN29" s="566">
        <f t="shared" ref="AN29:AR29" si="5">SUM(AN16:AN28)</f>
        <v>77229.325039999996</v>
      </c>
      <c r="AO29" s="566">
        <f t="shared" si="5"/>
        <v>95270.329039999997</v>
      </c>
      <c r="AP29" s="566">
        <f t="shared" si="5"/>
        <v>126459.04000000001</v>
      </c>
      <c r="AQ29" s="574">
        <f t="shared" si="5"/>
        <v>172740.2</v>
      </c>
      <c r="AR29" s="566">
        <f t="shared" si="5"/>
        <v>215232.12</v>
      </c>
    </row>
    <row r="30" spans="1:54" s="2" customFormat="1" ht="12" customHeight="1" thickBot="1" x14ac:dyDescent="0.25">
      <c r="I30" s="15"/>
      <c r="J30" s="91"/>
      <c r="K30" s="254" t="s">
        <v>12</v>
      </c>
      <c r="L30" s="94">
        <f ca="1">G65</f>
        <v>-67950</v>
      </c>
      <c r="M30" s="52"/>
      <c r="P30" s="130"/>
      <c r="Q30" s="131" t="s">
        <v>574</v>
      </c>
      <c r="R30" s="132"/>
      <c r="S30" s="132"/>
      <c r="T30" s="132"/>
      <c r="U30" s="132"/>
      <c r="V30" s="133"/>
      <c r="AD30" s="731" t="s">
        <v>876</v>
      </c>
      <c r="AE30" s="705"/>
      <c r="AF30" s="732">
        <v>0.11</v>
      </c>
      <c r="AG30" s="732">
        <v>0.11</v>
      </c>
      <c r="AH30" s="732">
        <v>0.11</v>
      </c>
      <c r="AI30" s="732">
        <v>0.11</v>
      </c>
      <c r="AJ30" s="732">
        <v>0.11</v>
      </c>
      <c r="AK30" s="732">
        <v>0.11</v>
      </c>
    </row>
    <row r="31" spans="1:54" s="2" customFormat="1" ht="12" customHeight="1" thickBot="1" x14ac:dyDescent="0.25">
      <c r="A31" s="269" t="s">
        <v>382</v>
      </c>
      <c r="C31" s="900" t="s">
        <v>81</v>
      </c>
      <c r="D31" s="900"/>
      <c r="E31" s="900"/>
      <c r="F31" s="900"/>
      <c r="G31" s="900"/>
      <c r="H31" s="900"/>
      <c r="I31" s="900"/>
      <c r="J31" s="900"/>
      <c r="K31" s="900"/>
      <c r="L31" s="900"/>
      <c r="AD31" s="733" t="s">
        <v>877</v>
      </c>
      <c r="AE31" s="734"/>
      <c r="AF31" s="735">
        <v>67951.01208</v>
      </c>
      <c r="AG31" s="735">
        <v>85724.550794399998</v>
      </c>
      <c r="AH31" s="735">
        <v>105750.0652344</v>
      </c>
      <c r="AI31" s="735">
        <v>140369.5344</v>
      </c>
      <c r="AJ31" s="735">
        <v>191741.622</v>
      </c>
      <c r="AK31" s="735">
        <v>238907.6532</v>
      </c>
    </row>
    <row r="32" spans="1:54" s="2" customFormat="1" ht="12" customHeight="1" thickBot="1" x14ac:dyDescent="0.25">
      <c r="A32" s="269" t="s">
        <v>383</v>
      </c>
      <c r="C32" s="900" t="s">
        <v>742</v>
      </c>
      <c r="D32" s="900"/>
      <c r="E32" s="900"/>
      <c r="F32" s="900"/>
      <c r="G32" s="900"/>
      <c r="H32" s="900"/>
      <c r="I32" s="900"/>
      <c r="J32" s="900"/>
      <c r="K32" s="900"/>
      <c r="L32" s="900"/>
      <c r="Q32" s="945" t="s">
        <v>102</v>
      </c>
      <c r="R32" s="946"/>
      <c r="S32" s="946"/>
      <c r="T32" s="946"/>
      <c r="U32" s="946"/>
      <c r="V32" s="946"/>
      <c r="W32" s="946"/>
      <c r="X32" s="946"/>
      <c r="Y32" s="946"/>
      <c r="Z32" s="946"/>
      <c r="AA32" s="946"/>
      <c r="AB32" s="947"/>
    </row>
    <row r="33" spans="1:33" s="2" customFormat="1" ht="12" customHeight="1" thickBot="1" x14ac:dyDescent="0.25">
      <c r="A33" s="270" t="s">
        <v>410</v>
      </c>
      <c r="C33" s="928" t="s">
        <v>438</v>
      </c>
      <c r="D33" s="928"/>
      <c r="E33" s="928"/>
      <c r="F33" s="928"/>
      <c r="G33" s="928"/>
      <c r="H33" s="928"/>
      <c r="I33" s="928"/>
      <c r="J33" s="928"/>
      <c r="K33" s="928"/>
      <c r="L33" s="928"/>
      <c r="M33" s="928"/>
      <c r="Q33" s="134" t="s">
        <v>103</v>
      </c>
      <c r="R33" s="135" t="s">
        <v>442</v>
      </c>
      <c r="S33" s="135" t="s">
        <v>443</v>
      </c>
      <c r="T33" s="135" t="s">
        <v>444</v>
      </c>
      <c r="U33" s="135" t="s">
        <v>445</v>
      </c>
      <c r="V33" s="135" t="s">
        <v>446</v>
      </c>
      <c r="W33" s="135" t="s">
        <v>447</v>
      </c>
      <c r="X33" s="135" t="s">
        <v>448</v>
      </c>
      <c r="Y33" s="135" t="s">
        <v>451</v>
      </c>
      <c r="Z33" s="135" t="s">
        <v>449</v>
      </c>
      <c r="AA33" s="135" t="s">
        <v>450</v>
      </c>
      <c r="AB33" s="136" t="s">
        <v>179</v>
      </c>
    </row>
    <row r="34" spans="1:33" s="2" customFormat="1" ht="12" customHeight="1" x14ac:dyDescent="0.2">
      <c r="C34" s="928"/>
      <c r="D34" s="928"/>
      <c r="E34" s="928"/>
      <c r="F34" s="928"/>
      <c r="G34" s="928"/>
      <c r="H34" s="928"/>
      <c r="I34" s="928"/>
      <c r="J34" s="928"/>
      <c r="K34" s="928"/>
      <c r="L34" s="928"/>
      <c r="M34" s="928"/>
      <c r="N34" s="46"/>
      <c r="Q34" s="137" t="s">
        <v>458</v>
      </c>
      <c r="R34" s="138">
        <v>13500</v>
      </c>
      <c r="S34" s="138">
        <v>3300</v>
      </c>
      <c r="T34" s="138">
        <v>1000</v>
      </c>
      <c r="U34" s="138">
        <v>900</v>
      </c>
      <c r="V34" s="138">
        <v>180</v>
      </c>
      <c r="W34" s="138">
        <v>600</v>
      </c>
      <c r="X34" s="138">
        <v>0</v>
      </c>
      <c r="Y34" s="138">
        <v>0</v>
      </c>
      <c r="Z34" s="138">
        <v>0</v>
      </c>
      <c r="AA34" s="138">
        <v>0</v>
      </c>
      <c r="AB34" s="139">
        <f t="shared" ref="AB34:AB39" si="6">SUM(R34:AA34)</f>
        <v>19480</v>
      </c>
    </row>
    <row r="35" spans="1:33" s="2" customFormat="1" ht="12" customHeight="1" x14ac:dyDescent="0.2">
      <c r="C35" s="928"/>
      <c r="D35" s="928"/>
      <c r="E35" s="928"/>
      <c r="F35" s="928"/>
      <c r="G35" s="928"/>
      <c r="H35" s="928"/>
      <c r="I35" s="928"/>
      <c r="J35" s="928"/>
      <c r="K35" s="928"/>
      <c r="L35" s="928"/>
      <c r="M35" s="928"/>
      <c r="N35" s="46"/>
      <c r="Q35" s="140" t="s">
        <v>459</v>
      </c>
      <c r="R35" s="141">
        <v>16200</v>
      </c>
      <c r="S35" s="141">
        <v>6600</v>
      </c>
      <c r="T35" s="141">
        <v>1000</v>
      </c>
      <c r="U35" s="141">
        <v>900</v>
      </c>
      <c r="V35" s="141">
        <v>180</v>
      </c>
      <c r="W35" s="141">
        <v>600</v>
      </c>
      <c r="X35" s="141">
        <v>0</v>
      </c>
      <c r="Y35" s="141">
        <v>500</v>
      </c>
      <c r="Z35" s="141">
        <v>0</v>
      </c>
      <c r="AA35" s="141">
        <v>0</v>
      </c>
      <c r="AB35" s="139">
        <f t="shared" si="6"/>
        <v>25980</v>
      </c>
    </row>
    <row r="36" spans="1:33" s="2" customFormat="1" ht="12" customHeight="1" x14ac:dyDescent="0.2">
      <c r="A36" s="269" t="s">
        <v>384</v>
      </c>
      <c r="C36" s="984" t="s">
        <v>84</v>
      </c>
      <c r="D36" s="984"/>
      <c r="E36" s="984"/>
      <c r="F36" s="984"/>
      <c r="G36" s="984"/>
      <c r="H36" s="984"/>
      <c r="I36" s="984"/>
      <c r="J36" s="984"/>
      <c r="K36" s="984"/>
      <c r="L36" s="984"/>
      <c r="M36" s="271"/>
      <c r="N36" s="46"/>
      <c r="Q36" s="140" t="s">
        <v>456</v>
      </c>
      <c r="R36" s="141">
        <v>21600</v>
      </c>
      <c r="S36" s="141">
        <v>6600</v>
      </c>
      <c r="T36" s="141">
        <v>1000</v>
      </c>
      <c r="U36" s="141">
        <v>900</v>
      </c>
      <c r="V36" s="141">
        <v>180</v>
      </c>
      <c r="W36" s="141">
        <v>600</v>
      </c>
      <c r="X36" s="141">
        <v>0</v>
      </c>
      <c r="Y36" s="141">
        <v>500</v>
      </c>
      <c r="Z36" s="141">
        <v>0</v>
      </c>
      <c r="AA36" s="141">
        <v>0</v>
      </c>
      <c r="AB36" s="139">
        <f t="shared" si="6"/>
        <v>31380</v>
      </c>
    </row>
    <row r="37" spans="1:33" s="2" customFormat="1" ht="12" customHeight="1" x14ac:dyDescent="0.2">
      <c r="A37" s="270" t="s">
        <v>403</v>
      </c>
      <c r="C37" s="901" t="s">
        <v>439</v>
      </c>
      <c r="D37" s="901"/>
      <c r="E37" s="901"/>
      <c r="F37" s="901"/>
      <c r="G37" s="901"/>
      <c r="H37" s="901"/>
      <c r="I37" s="901"/>
      <c r="J37" s="901"/>
      <c r="K37" s="901"/>
      <c r="L37" s="901"/>
      <c r="M37" s="901"/>
      <c r="P37" s="1"/>
      <c r="Q37" s="140" t="s">
        <v>457</v>
      </c>
      <c r="R37" s="141">
        <v>32400</v>
      </c>
      <c r="S37" s="141">
        <v>6600</v>
      </c>
      <c r="T37" s="141">
        <v>1000</v>
      </c>
      <c r="U37" s="141">
        <v>900</v>
      </c>
      <c r="V37" s="141">
        <v>180</v>
      </c>
      <c r="W37" s="141">
        <v>600</v>
      </c>
      <c r="X37" s="141">
        <v>300</v>
      </c>
      <c r="Y37" s="141">
        <v>0</v>
      </c>
      <c r="Z37" s="141">
        <v>0</v>
      </c>
      <c r="AA37" s="141">
        <v>0</v>
      </c>
      <c r="AB37" s="139">
        <f t="shared" si="6"/>
        <v>41980</v>
      </c>
    </row>
    <row r="38" spans="1:33" ht="12" customHeight="1" x14ac:dyDescent="0.2">
      <c r="A38" s="269" t="s">
        <v>385</v>
      </c>
      <c r="B38" s="2"/>
      <c r="C38" s="984" t="s">
        <v>85</v>
      </c>
      <c r="D38" s="984"/>
      <c r="E38" s="984"/>
      <c r="F38" s="984"/>
      <c r="G38" s="984"/>
      <c r="H38" s="984"/>
      <c r="I38" s="984"/>
      <c r="J38" s="984"/>
      <c r="K38" s="984"/>
      <c r="L38" s="984"/>
      <c r="M38" s="4"/>
      <c r="N38" s="2"/>
      <c r="O38" s="2"/>
      <c r="Q38" s="140" t="s">
        <v>108</v>
      </c>
      <c r="R38" s="141">
        <v>48600</v>
      </c>
      <c r="S38" s="141">
        <v>8800</v>
      </c>
      <c r="T38" s="141">
        <v>1000</v>
      </c>
      <c r="U38" s="141">
        <v>1200</v>
      </c>
      <c r="V38" s="141">
        <v>240</v>
      </c>
      <c r="W38" s="141">
        <v>800</v>
      </c>
      <c r="X38" s="141">
        <v>300</v>
      </c>
      <c r="Y38" s="141">
        <v>0</v>
      </c>
      <c r="Z38" s="141">
        <v>0</v>
      </c>
      <c r="AA38" s="141">
        <v>0</v>
      </c>
      <c r="AB38" s="139">
        <f t="shared" si="6"/>
        <v>60940</v>
      </c>
      <c r="AC38" s="2"/>
      <c r="AD38" s="2"/>
      <c r="AE38" s="2"/>
      <c r="AF38" s="2"/>
      <c r="AG38" s="2"/>
    </row>
    <row r="39" spans="1:33" ht="12" customHeight="1" thickBot="1" x14ac:dyDescent="0.25">
      <c r="A39" s="2"/>
      <c r="B39" s="2"/>
      <c r="M39" s="2"/>
      <c r="N39" s="2"/>
      <c r="O39" s="2"/>
      <c r="Q39" s="142" t="s">
        <v>109</v>
      </c>
      <c r="R39" s="143">
        <v>64800</v>
      </c>
      <c r="S39" s="143">
        <v>9900</v>
      </c>
      <c r="T39" s="143">
        <v>1000</v>
      </c>
      <c r="U39" s="143">
        <v>1800</v>
      </c>
      <c r="V39" s="143">
        <v>360</v>
      </c>
      <c r="W39" s="143">
        <v>1200</v>
      </c>
      <c r="X39" s="143">
        <v>450</v>
      </c>
      <c r="Y39" s="143">
        <v>0</v>
      </c>
      <c r="Z39" s="143">
        <v>0</v>
      </c>
      <c r="AA39" s="143">
        <v>0</v>
      </c>
      <c r="AB39" s="139">
        <f t="shared" si="6"/>
        <v>79510</v>
      </c>
      <c r="AC39" s="2"/>
      <c r="AD39" s="2"/>
      <c r="AE39" s="2"/>
      <c r="AF39" s="2"/>
      <c r="AG39" s="2"/>
    </row>
    <row r="40" spans="1:33" ht="12" customHeight="1" thickBot="1" x14ac:dyDescent="0.25">
      <c r="N40" s="2"/>
      <c r="O40" s="2"/>
      <c r="Q40" s="948" t="s">
        <v>110</v>
      </c>
      <c r="R40" s="949"/>
      <c r="S40" s="949"/>
      <c r="T40" s="949"/>
      <c r="U40" s="949"/>
      <c r="V40" s="949"/>
      <c r="W40" s="949"/>
      <c r="X40" s="949"/>
      <c r="Y40" s="949"/>
      <c r="Z40" s="949"/>
      <c r="AA40" s="949"/>
      <c r="AB40" s="950"/>
      <c r="AC40" s="2"/>
      <c r="AD40" s="2"/>
      <c r="AE40" s="2"/>
      <c r="AF40" s="2"/>
      <c r="AG40" s="2"/>
    </row>
    <row r="41" spans="1:33" ht="12" customHeight="1" x14ac:dyDescent="0.2">
      <c r="A41" s="53"/>
      <c r="B41" s="53"/>
      <c r="C41" s="894" t="s">
        <v>374</v>
      </c>
      <c r="D41" s="895"/>
      <c r="E41" s="895"/>
      <c r="F41" s="895"/>
      <c r="G41" s="896"/>
      <c r="H41" s="46"/>
      <c r="I41" s="46"/>
      <c r="J41" s="46"/>
      <c r="K41" s="46"/>
      <c r="L41" s="46"/>
      <c r="M41" s="2"/>
      <c r="N41" s="2"/>
      <c r="O41" s="2"/>
      <c r="AC41" s="2"/>
      <c r="AD41" s="2"/>
      <c r="AE41" s="2"/>
      <c r="AF41" s="2"/>
      <c r="AG41" s="2"/>
    </row>
    <row r="42" spans="1:33" ht="12" customHeight="1" thickBot="1" x14ac:dyDescent="0.25">
      <c r="A42" s="53"/>
      <c r="B42" s="53"/>
      <c r="C42" s="897"/>
      <c r="D42" s="898"/>
      <c r="E42" s="898"/>
      <c r="F42" s="898"/>
      <c r="G42" s="899"/>
      <c r="H42" s="456"/>
      <c r="I42" s="2"/>
      <c r="J42" s="2"/>
      <c r="K42" s="2"/>
      <c r="L42" s="2"/>
      <c r="M42" s="2"/>
      <c r="N42" s="2"/>
      <c r="O42" s="2"/>
      <c r="AA42" s="2"/>
      <c r="AB42" s="2"/>
      <c r="AC42" s="2"/>
      <c r="AD42" s="2"/>
      <c r="AE42" s="2"/>
      <c r="AF42" s="2"/>
      <c r="AG42" s="2"/>
    </row>
    <row r="43" spans="1:33" s="2" customFormat="1" ht="12" customHeight="1" thickBot="1" x14ac:dyDescent="0.25">
      <c r="C43" s="19" t="s">
        <v>14</v>
      </c>
      <c r="D43" s="272"/>
      <c r="E43" s="87" t="s">
        <v>33</v>
      </c>
      <c r="F43" s="87" t="s">
        <v>64</v>
      </c>
      <c r="G43" s="88" t="s">
        <v>13</v>
      </c>
    </row>
    <row r="44" spans="1:33" s="2" customFormat="1" ht="12" customHeight="1" thickBot="1" x14ac:dyDescent="0.25">
      <c r="C44" s="277" t="s">
        <v>15</v>
      </c>
      <c r="D44" s="798" t="s">
        <v>16</v>
      </c>
      <c r="E44" s="799">
        <v>0</v>
      </c>
      <c r="F44" s="800">
        <v>0</v>
      </c>
      <c r="G44" s="801">
        <f>SUM(E44:F44)</f>
        <v>0</v>
      </c>
      <c r="H44" s="769" t="s">
        <v>375</v>
      </c>
    </row>
    <row r="45" spans="1:33" s="2" customFormat="1" ht="12" customHeight="1" x14ac:dyDescent="0.2">
      <c r="C45" s="277" t="s">
        <v>17</v>
      </c>
      <c r="D45" s="802" t="s">
        <v>18</v>
      </c>
      <c r="E45" s="803">
        <v>0</v>
      </c>
      <c r="F45" s="804">
        <v>0</v>
      </c>
      <c r="G45" s="805">
        <f t="shared" ref="G45:G49" si="7">SUM(E45:F45)</f>
        <v>0</v>
      </c>
      <c r="H45" s="769" t="s">
        <v>390</v>
      </c>
      <c r="P45" s="970" t="s">
        <v>282</v>
      </c>
      <c r="Q45" s="951"/>
      <c r="R45" s="951"/>
      <c r="S45" s="951"/>
      <c r="T45" s="971"/>
      <c r="W45" s="122"/>
      <c r="X45" s="122"/>
      <c r="Y45" s="122"/>
      <c r="Z45" s="122"/>
      <c r="AA45" s="18"/>
    </row>
    <row r="46" spans="1:33" s="2" customFormat="1" ht="12" customHeight="1" thickBot="1" x14ac:dyDescent="0.25">
      <c r="C46" s="277" t="s">
        <v>19</v>
      </c>
      <c r="D46" s="806" t="s">
        <v>20</v>
      </c>
      <c r="E46" s="803">
        <v>0</v>
      </c>
      <c r="F46" s="804">
        <v>0</v>
      </c>
      <c r="G46" s="805">
        <f>SUM(E46:F46)</f>
        <v>0</v>
      </c>
      <c r="H46" s="769" t="s">
        <v>391</v>
      </c>
      <c r="P46" s="972"/>
      <c r="Q46" s="891"/>
      <c r="R46" s="891"/>
      <c r="S46" s="891"/>
      <c r="T46" s="973"/>
      <c r="U46" s="122"/>
      <c r="V46" s="122"/>
      <c r="W46" s="122"/>
      <c r="X46" s="122"/>
      <c r="Y46" s="122"/>
      <c r="Z46" s="122"/>
      <c r="AA46" s="18"/>
    </row>
    <row r="47" spans="1:33" s="2" customFormat="1" ht="12" customHeight="1" x14ac:dyDescent="0.2">
      <c r="C47" s="277" t="s">
        <v>21</v>
      </c>
      <c r="D47" s="802" t="s">
        <v>22</v>
      </c>
      <c r="E47" s="803">
        <v>0</v>
      </c>
      <c r="F47" s="804">
        <v>0</v>
      </c>
      <c r="G47" s="805">
        <f t="shared" si="7"/>
        <v>0</v>
      </c>
      <c r="H47" s="769" t="s">
        <v>392</v>
      </c>
      <c r="P47" s="95"/>
      <c r="Q47" s="96"/>
      <c r="R47" s="97" t="s">
        <v>33</v>
      </c>
      <c r="S47" s="97"/>
      <c r="T47" s="97"/>
      <c r="U47" s="122"/>
      <c r="V47" s="122"/>
      <c r="W47" s="122"/>
      <c r="X47" s="122"/>
      <c r="Y47" s="122"/>
      <c r="Z47" s="122"/>
      <c r="AA47" s="18"/>
    </row>
    <row r="48" spans="1:33" s="2" customFormat="1" ht="12" customHeight="1" thickBot="1" x14ac:dyDescent="0.25">
      <c r="C48" s="277" t="s">
        <v>26</v>
      </c>
      <c r="D48" s="802" t="s">
        <v>27</v>
      </c>
      <c r="E48" s="803">
        <v>0</v>
      </c>
      <c r="F48" s="804">
        <v>0</v>
      </c>
      <c r="G48" s="805">
        <f t="shared" si="7"/>
        <v>0</v>
      </c>
      <c r="H48" s="769" t="s">
        <v>393</v>
      </c>
      <c r="P48" s="98" t="s">
        <v>121</v>
      </c>
      <c r="Q48" s="99"/>
      <c r="R48" s="100" t="s">
        <v>122</v>
      </c>
      <c r="S48" s="100" t="s">
        <v>38</v>
      </c>
      <c r="T48" s="99" t="s">
        <v>123</v>
      </c>
      <c r="U48" s="122"/>
      <c r="V48" s="122"/>
      <c r="W48" s="122"/>
      <c r="X48" s="122"/>
      <c r="Y48" s="122"/>
      <c r="Z48" s="122"/>
    </row>
    <row r="49" spans="3:27" s="2" customFormat="1" ht="12" customHeight="1" x14ac:dyDescent="0.2">
      <c r="C49" s="277" t="s">
        <v>28</v>
      </c>
      <c r="D49" s="802" t="s">
        <v>29</v>
      </c>
      <c r="E49" s="803">
        <v>0</v>
      </c>
      <c r="F49" s="804">
        <v>0</v>
      </c>
      <c r="G49" s="805">
        <f t="shared" si="7"/>
        <v>0</v>
      </c>
      <c r="H49" s="769" t="s">
        <v>394</v>
      </c>
      <c r="P49" s="105" t="s">
        <v>460</v>
      </c>
      <c r="Q49" s="22" t="s">
        <v>284</v>
      </c>
      <c r="R49" s="106">
        <v>1</v>
      </c>
      <c r="S49" s="80">
        <f>IF($G$15&lt;=450,R73,(IF($G$15&lt;=600,R74,(IF($G$15&lt;=750,R75,(IF($G$15&lt;=1000,R76,(IF($G$15&lt;=1500,R77,(IF($G$15&gt;1500,R78)))))))))))</f>
        <v>900</v>
      </c>
      <c r="T49" s="73">
        <f>R49*S49</f>
        <v>900</v>
      </c>
      <c r="U49" s="60" t="s">
        <v>41</v>
      </c>
      <c r="V49" s="122"/>
      <c r="W49" s="122"/>
      <c r="X49" s="122"/>
      <c r="Y49" s="122"/>
      <c r="Z49" s="122"/>
    </row>
    <row r="50" spans="3:27" s="2" customFormat="1" ht="12" customHeight="1" x14ac:dyDescent="0.2">
      <c r="C50" s="279" t="s">
        <v>30</v>
      </c>
      <c r="D50" s="802" t="s">
        <v>31</v>
      </c>
      <c r="E50" s="803">
        <v>0</v>
      </c>
      <c r="F50" s="804">
        <v>0</v>
      </c>
      <c r="G50" s="805">
        <f t="shared" ref="G50:G51" si="8">SUM(E50:F50)</f>
        <v>0</v>
      </c>
      <c r="H50" s="769" t="s">
        <v>395</v>
      </c>
      <c r="P50" s="105" t="s">
        <v>461</v>
      </c>
      <c r="Q50" s="22" t="s">
        <v>286</v>
      </c>
      <c r="R50" s="106">
        <v>1</v>
      </c>
      <c r="S50" s="80">
        <f>IF($G$15&lt;=450,S73,(IF($G$15&lt;=600,S74,(IF($G$15&lt;=750,S75,(IF($G$15&lt;=1000,S76,(IF($G$15&lt;=1500,S77,(IF($G$15&gt;1500,S78)))))))))))</f>
        <v>150</v>
      </c>
      <c r="T50" s="73">
        <f>R50*S50</f>
        <v>150</v>
      </c>
      <c r="U50" s="60" t="s">
        <v>36</v>
      </c>
      <c r="V50" s="122"/>
      <c r="W50" s="122"/>
      <c r="X50" s="122"/>
      <c r="Y50" s="122"/>
      <c r="Z50" s="122"/>
    </row>
    <row r="51" spans="3:27" s="2" customFormat="1" ht="12" customHeight="1" x14ac:dyDescent="0.2">
      <c r="C51" s="279" t="s">
        <v>32</v>
      </c>
      <c r="D51" s="802" t="s">
        <v>0</v>
      </c>
      <c r="E51" s="803">
        <v>0</v>
      </c>
      <c r="F51" s="804">
        <v>0</v>
      </c>
      <c r="G51" s="805">
        <f t="shared" si="8"/>
        <v>0</v>
      </c>
      <c r="H51" s="769" t="s">
        <v>396</v>
      </c>
      <c r="P51" s="105" t="s">
        <v>462</v>
      </c>
      <c r="Q51" s="22" t="s">
        <v>288</v>
      </c>
      <c r="R51" s="106">
        <v>1</v>
      </c>
      <c r="S51" s="80">
        <f>IF($G$15&lt;=450,T73,(IF($G$15&lt;=600,T74,(IF($G$15&lt;=750,T75,(IF($G$15&lt;=1000,T76,(IF($G$15&lt;=1500,T77,(IF($G$15&gt;1500,T78)))))))))))</f>
        <v>100</v>
      </c>
      <c r="T51" s="73">
        <f>R51*S51</f>
        <v>100</v>
      </c>
      <c r="U51" s="60"/>
      <c r="V51" s="122"/>
      <c r="W51" s="122"/>
      <c r="X51" s="122"/>
      <c r="Y51" s="122"/>
      <c r="Z51" s="122"/>
    </row>
    <row r="52" spans="3:27" s="2" customFormat="1" ht="12" customHeight="1" x14ac:dyDescent="0.2">
      <c r="C52" s="277" t="s">
        <v>1</v>
      </c>
      <c r="D52" s="807" t="s">
        <v>2</v>
      </c>
      <c r="E52" s="803">
        <v>0</v>
      </c>
      <c r="F52" s="804">
        <v>0</v>
      </c>
      <c r="G52" s="805">
        <f>SUM(E52:F52)</f>
        <v>0</v>
      </c>
      <c r="H52" s="769" t="s">
        <v>397</v>
      </c>
      <c r="I52" s="15"/>
      <c r="P52" s="105" t="s">
        <v>463</v>
      </c>
      <c r="Q52" s="22" t="s">
        <v>290</v>
      </c>
      <c r="R52" s="106">
        <v>1</v>
      </c>
      <c r="S52" s="80">
        <f>IF($G$15&lt;=450,U73,(IF($G$15&lt;=600,U74,(IF($G$15&lt;=750,U75,(IF($G$15&lt;=1000,U76,(IF($G$15&lt;=1500,U77,(IF($G$15&gt;1500,U78)))))))))))</f>
        <v>0</v>
      </c>
      <c r="T52" s="73">
        <f>R52*S52</f>
        <v>0</v>
      </c>
      <c r="U52" s="60" t="s">
        <v>39</v>
      </c>
      <c r="V52" s="122"/>
      <c r="W52" s="122"/>
      <c r="X52" s="122"/>
      <c r="Y52" s="122"/>
      <c r="Z52" s="122"/>
      <c r="AA52" s="18"/>
    </row>
    <row r="53" spans="3:27" s="2" customFormat="1" ht="12" customHeight="1" x14ac:dyDescent="0.2">
      <c r="C53" s="277" t="s">
        <v>3</v>
      </c>
      <c r="D53" s="802" t="s">
        <v>4</v>
      </c>
      <c r="E53" s="803">
        <v>0</v>
      </c>
      <c r="F53" s="804">
        <v>0</v>
      </c>
      <c r="G53" s="805">
        <f>SUM(E53:F53)</f>
        <v>0</v>
      </c>
      <c r="H53" s="769" t="s">
        <v>398</v>
      </c>
      <c r="I53" s="15"/>
      <c r="P53" s="105" t="s">
        <v>464</v>
      </c>
      <c r="Q53" s="145" t="s">
        <v>292</v>
      </c>
      <c r="R53" s="146">
        <v>1</v>
      </c>
      <c r="S53" s="147">
        <f>IF($G$15&lt;=450,V73,(IF($G$15&lt;=600,V74,(IF($G$15&lt;=750,V75,(IF($G$15&lt;=1000,V76,(IF($G$15&lt;=1500,V77,(IF($G$15&gt;1500,V78)))))))))))</f>
        <v>600</v>
      </c>
      <c r="T53" s="74">
        <f>R53*S53</f>
        <v>600</v>
      </c>
      <c r="U53" s="122"/>
      <c r="V53" s="122"/>
      <c r="W53" s="122"/>
      <c r="X53" s="122"/>
      <c r="Y53" s="122"/>
      <c r="Z53" s="122"/>
      <c r="AA53" s="18"/>
    </row>
    <row r="54" spans="3:27" s="2" customFormat="1" ht="12" customHeight="1" x14ac:dyDescent="0.2">
      <c r="C54" s="277" t="s">
        <v>5</v>
      </c>
      <c r="D54" s="808" t="s">
        <v>6</v>
      </c>
      <c r="E54" s="803">
        <v>0</v>
      </c>
      <c r="F54" s="804">
        <v>0</v>
      </c>
      <c r="G54" s="805">
        <f>SUM(E54:F54)</f>
        <v>0</v>
      </c>
      <c r="H54" s="769" t="s">
        <v>399</v>
      </c>
      <c r="I54" s="15"/>
      <c r="P54" s="101"/>
      <c r="Q54" s="22"/>
      <c r="R54" s="80"/>
      <c r="S54" s="80"/>
      <c r="T54" s="73"/>
      <c r="U54" s="122"/>
      <c r="V54" s="122"/>
      <c r="W54" s="122"/>
      <c r="X54" s="122"/>
      <c r="Y54" s="122"/>
      <c r="Z54" s="122"/>
      <c r="AA54" s="18"/>
    </row>
    <row r="55" spans="3:27" s="2" customFormat="1" ht="12" customHeight="1" thickBot="1" x14ac:dyDescent="0.25">
      <c r="C55" s="277" t="s">
        <v>7</v>
      </c>
      <c r="D55" s="808" t="s">
        <v>8</v>
      </c>
      <c r="E55" s="803">
        <v>0</v>
      </c>
      <c r="F55" s="804">
        <v>0</v>
      </c>
      <c r="G55" s="805">
        <f>SUM(E55:F55)</f>
        <v>0</v>
      </c>
      <c r="H55" s="769" t="s">
        <v>400</v>
      </c>
      <c r="I55" s="15"/>
      <c r="P55" s="113" t="s">
        <v>293</v>
      </c>
      <c r="Q55" s="114"/>
      <c r="R55" s="148"/>
      <c r="S55" s="148"/>
      <c r="T55" s="116">
        <f>SUM(T49:T53)</f>
        <v>1750</v>
      </c>
      <c r="U55" s="122"/>
      <c r="V55" s="122"/>
      <c r="W55" s="122"/>
      <c r="X55" s="122"/>
      <c r="Y55" s="122"/>
      <c r="Z55" s="122"/>
      <c r="AA55" s="18"/>
    </row>
    <row r="56" spans="3:27" s="2" customFormat="1" ht="12" customHeight="1" thickTop="1" thickBot="1" x14ac:dyDescent="0.25">
      <c r="C56" s="277" t="s">
        <v>9</v>
      </c>
      <c r="D56" s="809" t="s">
        <v>10</v>
      </c>
      <c r="E56" s="810">
        <v>0</v>
      </c>
      <c r="F56" s="811">
        <v>0</v>
      </c>
      <c r="G56" s="812">
        <f>SUM(E56:F56)</f>
        <v>0</v>
      </c>
      <c r="H56" s="769" t="s">
        <v>401</v>
      </c>
      <c r="I56" s="15"/>
      <c r="P56" s="18"/>
      <c r="Q56" s="32"/>
      <c r="R56" s="32"/>
      <c r="S56" s="32"/>
      <c r="T56" s="122"/>
      <c r="U56" s="122"/>
      <c r="V56" s="122"/>
      <c r="W56" s="122"/>
      <c r="X56" s="122"/>
      <c r="Y56" s="122"/>
      <c r="Z56" s="122"/>
      <c r="AA56" s="18"/>
    </row>
    <row r="57" spans="3:27" s="2" customFormat="1" ht="12" customHeight="1" thickBot="1" x14ac:dyDescent="0.25">
      <c r="C57" s="25" t="s">
        <v>387</v>
      </c>
      <c r="D57" s="49"/>
      <c r="E57" s="75">
        <f>SUM(E44:E56)</f>
        <v>0</v>
      </c>
      <c r="F57" s="76">
        <f>SUM(F44:F56)</f>
        <v>0</v>
      </c>
      <c r="G57" s="75">
        <f>SUM(G44:G56)</f>
        <v>0</v>
      </c>
      <c r="H57" s="769"/>
      <c r="P57" s="945" t="s">
        <v>294</v>
      </c>
      <c r="Q57" s="946"/>
      <c r="R57" s="946"/>
      <c r="S57" s="946"/>
      <c r="T57" s="946"/>
      <c r="U57" s="946"/>
      <c r="V57" s="947"/>
      <c r="W57" s="122"/>
      <c r="X57" s="122"/>
      <c r="Y57" s="122"/>
      <c r="Z57" s="122"/>
      <c r="AA57" s="18"/>
    </row>
    <row r="58" spans="3:27" s="2" customFormat="1" ht="12" customHeight="1" thickBot="1" x14ac:dyDescent="0.25">
      <c r="C58" s="86"/>
      <c r="E58" s="261"/>
      <c r="G58" s="261"/>
      <c r="H58" s="770"/>
      <c r="P58" s="149" t="s">
        <v>23</v>
      </c>
      <c r="Q58" s="150" t="s">
        <v>24</v>
      </c>
      <c r="R58" s="151"/>
      <c r="S58" s="151"/>
      <c r="T58" s="151"/>
      <c r="U58" s="151"/>
      <c r="V58" s="152"/>
      <c r="W58" s="122"/>
      <c r="X58" s="122"/>
      <c r="Y58" s="122"/>
      <c r="Z58" s="122"/>
      <c r="AA58" s="18"/>
    </row>
    <row r="59" spans="3:27" s="2" customFormat="1" ht="12" customHeight="1" x14ac:dyDescent="0.2">
      <c r="C59" s="267" t="s">
        <v>389</v>
      </c>
      <c r="E59" s="281">
        <v>0</v>
      </c>
      <c r="F59" s="282">
        <v>0</v>
      </c>
      <c r="G59" s="262">
        <f>SUM(E59:F59)</f>
        <v>0</v>
      </c>
      <c r="H59" s="769" t="s">
        <v>404</v>
      </c>
      <c r="P59" s="68">
        <v>1</v>
      </c>
      <c r="Q59" s="153" t="s">
        <v>295</v>
      </c>
      <c r="R59" s="154"/>
      <c r="S59" s="154"/>
      <c r="T59" s="154"/>
      <c r="U59" s="154"/>
      <c r="V59" s="155"/>
      <c r="W59" s="122"/>
      <c r="X59" s="122"/>
      <c r="Y59" s="122"/>
      <c r="Z59" s="122"/>
      <c r="AA59" s="18"/>
    </row>
    <row r="60" spans="3:27" s="2" customFormat="1" ht="12" customHeight="1" x14ac:dyDescent="0.2">
      <c r="C60" s="268"/>
      <c r="D60" s="69"/>
      <c r="E60" s="75"/>
      <c r="F60" s="76"/>
      <c r="G60" s="75"/>
      <c r="H60" s="770"/>
      <c r="P60" s="68"/>
      <c r="Q60" s="156" t="s">
        <v>296</v>
      </c>
      <c r="R60" s="157"/>
      <c r="S60" s="157"/>
      <c r="T60" s="157"/>
      <c r="U60" s="157"/>
      <c r="V60" s="158"/>
      <c r="W60" s="122"/>
      <c r="X60" s="122"/>
      <c r="Y60" s="122"/>
      <c r="Z60" s="122"/>
      <c r="AA60" s="18"/>
    </row>
    <row r="61" spans="3:27" s="2" customFormat="1" ht="12" customHeight="1" x14ac:dyDescent="0.2">
      <c r="C61" s="263" t="s">
        <v>388</v>
      </c>
      <c r="D61" s="264"/>
      <c r="E61" s="265">
        <f>IF(E59=0,0,(E59-E57)/E59)</f>
        <v>0</v>
      </c>
      <c r="F61" s="266">
        <f>IF(F59=0,0,(F59-F57)/F59)</f>
        <v>0</v>
      </c>
      <c r="G61" s="265">
        <f>IF(G59=0,0,(G59-G57)/G59)</f>
        <v>0</v>
      </c>
      <c r="H61" s="769"/>
      <c r="P61" s="68">
        <v>2</v>
      </c>
      <c r="Q61" s="156" t="s">
        <v>297</v>
      </c>
      <c r="R61" s="157"/>
      <c r="S61" s="157"/>
      <c r="T61" s="157"/>
      <c r="U61" s="157"/>
      <c r="V61" s="158"/>
      <c r="W61" s="122"/>
      <c r="X61" s="122"/>
      <c r="Y61" s="122"/>
      <c r="Z61" s="122"/>
      <c r="AA61" s="18"/>
    </row>
    <row r="62" spans="3:27" s="2" customFormat="1" ht="12" customHeight="1" x14ac:dyDescent="0.2">
      <c r="C62" s="61" t="s">
        <v>65</v>
      </c>
      <c r="D62" s="257"/>
      <c r="E62" s="76"/>
      <c r="F62" s="283">
        <v>0</v>
      </c>
      <c r="G62" s="62" t="s">
        <v>40</v>
      </c>
      <c r="H62" s="769" t="s">
        <v>405</v>
      </c>
      <c r="P62" s="68"/>
      <c r="Q62" s="156" t="s">
        <v>298</v>
      </c>
      <c r="R62" s="156"/>
      <c r="S62" s="156"/>
      <c r="T62" s="159"/>
      <c r="U62" s="159"/>
      <c r="V62" s="160"/>
      <c r="W62" s="122"/>
      <c r="X62" s="122"/>
      <c r="Y62" s="122"/>
      <c r="Z62" s="122"/>
      <c r="AA62" s="18"/>
    </row>
    <row r="63" spans="3:27" s="2" customFormat="1" ht="12" customHeight="1" thickBot="1" x14ac:dyDescent="0.25">
      <c r="C63" s="256" t="s">
        <v>25</v>
      </c>
      <c r="D63" s="257"/>
      <c r="E63" s="76"/>
      <c r="F63" s="77">
        <f>F59-F62</f>
        <v>0</v>
      </c>
      <c r="G63" s="63" t="s">
        <v>40</v>
      </c>
      <c r="H63" s="770"/>
      <c r="P63" s="68">
        <v>3</v>
      </c>
      <c r="Q63" s="156" t="s">
        <v>299</v>
      </c>
      <c r="R63" s="156"/>
      <c r="S63" s="156"/>
      <c r="T63" s="159"/>
      <c r="U63" s="159"/>
      <c r="V63" s="160"/>
      <c r="W63" s="157"/>
      <c r="X63" s="117"/>
      <c r="Y63" s="117"/>
      <c r="Z63" s="117"/>
      <c r="AA63" s="117"/>
    </row>
    <row r="64" spans="3:27" s="2" customFormat="1" ht="12" customHeight="1" thickBot="1" x14ac:dyDescent="0.25">
      <c r="C64" s="64" t="s">
        <v>11</v>
      </c>
      <c r="D64" s="65"/>
      <c r="E64" s="69"/>
      <c r="F64" s="47"/>
      <c r="G64" s="78">
        <f>E59+F63</f>
        <v>0</v>
      </c>
      <c r="H64" s="769"/>
      <c r="P64" s="68"/>
      <c r="Q64" s="156" t="s">
        <v>300</v>
      </c>
      <c r="R64" s="156"/>
      <c r="S64" s="156"/>
      <c r="T64" s="159"/>
      <c r="U64" s="159"/>
      <c r="V64" s="160"/>
      <c r="W64" s="157"/>
      <c r="X64" s="117"/>
      <c r="Y64" s="117"/>
      <c r="Z64" s="117"/>
      <c r="AA64" s="117"/>
    </row>
    <row r="65" spans="1:30" s="2" customFormat="1" ht="12" customHeight="1" thickBot="1" x14ac:dyDescent="0.25">
      <c r="C65" s="66" t="s">
        <v>12</v>
      </c>
      <c r="D65" s="67"/>
      <c r="E65" s="79"/>
      <c r="F65" s="72"/>
      <c r="G65" s="93">
        <f ca="1">G64-G19</f>
        <v>-67950</v>
      </c>
      <c r="H65" s="770"/>
      <c r="P65" s="68"/>
      <c r="Q65" s="156" t="s">
        <v>301</v>
      </c>
      <c r="R65" s="156"/>
      <c r="S65" s="156"/>
      <c r="T65" s="159"/>
      <c r="U65" s="159"/>
      <c r="V65" s="160"/>
      <c r="W65" s="157"/>
      <c r="X65" s="117"/>
      <c r="Y65" s="117"/>
      <c r="Z65" s="117"/>
      <c r="AA65" s="117"/>
    </row>
    <row r="66" spans="1:30" s="2" customFormat="1" ht="12" customHeight="1" x14ac:dyDescent="0.2">
      <c r="P66" s="68"/>
      <c r="Q66" s="156" t="s">
        <v>302</v>
      </c>
      <c r="R66" s="156"/>
      <c r="S66" s="156"/>
      <c r="T66" s="159"/>
      <c r="U66" s="159"/>
      <c r="V66" s="160"/>
      <c r="W66" s="157"/>
      <c r="X66" s="117"/>
      <c r="Y66" s="117"/>
      <c r="Z66" s="117"/>
      <c r="AA66" s="117"/>
    </row>
    <row r="67" spans="1:30" s="2" customFormat="1" ht="12" customHeight="1" x14ac:dyDescent="0.2">
      <c r="A67" s="269" t="s">
        <v>386</v>
      </c>
      <c r="C67" s="984" t="s">
        <v>890</v>
      </c>
      <c r="D67" s="984"/>
      <c r="E67" s="984"/>
      <c r="F67" s="984"/>
      <c r="G67" s="984"/>
      <c r="H67" s="984"/>
      <c r="I67" s="984"/>
      <c r="J67" s="984"/>
      <c r="K67" s="984"/>
      <c r="L67" s="984"/>
      <c r="M67" s="984"/>
      <c r="P67" s="54"/>
      <c r="Q67" s="161"/>
      <c r="R67" s="161"/>
      <c r="S67" s="161"/>
      <c r="T67" s="161"/>
      <c r="U67" s="161"/>
      <c r="V67" s="162"/>
      <c r="W67" s="159"/>
      <c r="X67" s="122"/>
      <c r="Y67" s="122"/>
      <c r="Z67" s="122"/>
      <c r="AA67" s="117"/>
    </row>
    <row r="68" spans="1:30" s="2" customFormat="1" ht="12" customHeight="1" x14ac:dyDescent="0.2">
      <c r="A68" s="269" t="s">
        <v>407</v>
      </c>
      <c r="C68" s="984" t="s">
        <v>891</v>
      </c>
      <c r="D68" s="984"/>
      <c r="E68" s="984"/>
      <c r="F68" s="984"/>
      <c r="G68" s="984"/>
      <c r="H68" s="984"/>
      <c r="I68" s="984"/>
      <c r="J68" s="984"/>
      <c r="K68" s="984"/>
      <c r="L68" s="984"/>
      <c r="M68" s="984"/>
      <c r="P68" s="54"/>
      <c r="Q68" s="156" t="s">
        <v>303</v>
      </c>
      <c r="R68" s="161"/>
      <c r="S68" s="161"/>
      <c r="T68" s="161"/>
      <c r="U68" s="161"/>
      <c r="V68" s="162"/>
      <c r="W68" s="159"/>
      <c r="X68" s="122"/>
      <c r="Y68" s="122"/>
      <c r="Z68" s="122"/>
      <c r="AA68" s="117"/>
    </row>
    <row r="69" spans="1:30" s="2" customFormat="1" ht="12" customHeight="1" thickBot="1" x14ac:dyDescent="0.25">
      <c r="A69" s="269" t="s">
        <v>408</v>
      </c>
      <c r="C69" s="984" t="s">
        <v>892</v>
      </c>
      <c r="D69" s="984"/>
      <c r="E69" s="984"/>
      <c r="F69" s="984"/>
      <c r="G69" s="984"/>
      <c r="H69" s="984"/>
      <c r="I69" s="984"/>
      <c r="J69" s="984"/>
      <c r="K69" s="984"/>
      <c r="L69" s="984"/>
      <c r="M69" s="984"/>
      <c r="P69" s="163"/>
      <c r="Q69" s="164" t="s">
        <v>424</v>
      </c>
      <c r="R69" s="165"/>
      <c r="S69" s="165"/>
      <c r="T69" s="165"/>
      <c r="U69" s="165"/>
      <c r="V69" s="166"/>
    </row>
    <row r="70" spans="1:30" s="2" customFormat="1" ht="12" customHeight="1" thickBot="1" x14ac:dyDescent="0.25">
      <c r="A70" s="269" t="s">
        <v>409</v>
      </c>
      <c r="C70" s="984" t="s">
        <v>893</v>
      </c>
      <c r="D70" s="984"/>
      <c r="E70" s="984"/>
      <c r="F70" s="984"/>
      <c r="G70" s="984"/>
      <c r="H70" s="984"/>
      <c r="I70" s="984"/>
      <c r="J70" s="984"/>
      <c r="K70" s="984"/>
      <c r="L70" s="984"/>
      <c r="M70" s="984"/>
      <c r="W70" s="122"/>
      <c r="X70" s="122"/>
      <c r="Y70" s="122"/>
      <c r="Z70" s="122"/>
      <c r="AA70" s="122"/>
      <c r="AB70" s="122"/>
      <c r="AC70" s="122"/>
      <c r="AD70" s="122"/>
    </row>
    <row r="71" spans="1:30" s="2" customFormat="1" ht="12" customHeight="1" thickBot="1" x14ac:dyDescent="0.25">
      <c r="A71" s="269" t="s">
        <v>418</v>
      </c>
      <c r="C71" s="984" t="s">
        <v>894</v>
      </c>
      <c r="D71" s="984"/>
      <c r="E71" s="984"/>
      <c r="F71" s="984"/>
      <c r="G71" s="984"/>
      <c r="H71" s="984"/>
      <c r="I71" s="984"/>
      <c r="J71" s="984"/>
      <c r="K71" s="984"/>
      <c r="L71" s="984"/>
      <c r="M71" s="984"/>
      <c r="Q71" s="945" t="s">
        <v>102</v>
      </c>
      <c r="R71" s="946"/>
      <c r="S71" s="946"/>
      <c r="T71" s="946"/>
      <c r="U71" s="946"/>
      <c r="V71" s="946"/>
      <c r="W71" s="947"/>
      <c r="X71" s="122"/>
      <c r="Y71" s="122"/>
      <c r="Z71" s="122"/>
      <c r="AA71" s="122"/>
      <c r="AB71" s="122"/>
      <c r="AC71" s="122"/>
      <c r="AD71" s="122"/>
    </row>
    <row r="72" spans="1:30" s="2" customFormat="1" ht="12" customHeight="1" thickBot="1" x14ac:dyDescent="0.25">
      <c r="A72" s="269" t="s">
        <v>412</v>
      </c>
      <c r="C72" s="984" t="s">
        <v>895</v>
      </c>
      <c r="D72" s="984"/>
      <c r="E72" s="984"/>
      <c r="F72" s="984"/>
      <c r="G72" s="984"/>
      <c r="H72" s="984"/>
      <c r="I72" s="984"/>
      <c r="J72" s="984"/>
      <c r="K72" s="984"/>
      <c r="L72" s="984"/>
      <c r="M72" s="984"/>
      <c r="Q72" s="134" t="s">
        <v>103</v>
      </c>
      <c r="R72" s="135" t="s">
        <v>304</v>
      </c>
      <c r="S72" s="135" t="s">
        <v>305</v>
      </c>
      <c r="T72" s="135" t="s">
        <v>306</v>
      </c>
      <c r="U72" s="135" t="s">
        <v>307</v>
      </c>
      <c r="V72" s="135" t="s">
        <v>308</v>
      </c>
      <c r="W72" s="136" t="s">
        <v>179</v>
      </c>
      <c r="X72" s="122"/>
      <c r="Y72" s="122"/>
      <c r="Z72" s="122"/>
      <c r="AA72" s="122"/>
      <c r="AB72" s="122"/>
      <c r="AC72" s="122"/>
      <c r="AD72" s="122"/>
    </row>
    <row r="73" spans="1:30" s="2" customFormat="1" ht="12" customHeight="1" x14ac:dyDescent="0.2">
      <c r="A73" s="269" t="s">
        <v>413</v>
      </c>
      <c r="C73" s="984" t="s">
        <v>897</v>
      </c>
      <c r="D73" s="984"/>
      <c r="E73" s="984"/>
      <c r="F73" s="984"/>
      <c r="G73" s="984"/>
      <c r="H73" s="984"/>
      <c r="I73" s="984"/>
      <c r="J73" s="984"/>
      <c r="K73" s="984"/>
      <c r="L73" s="984"/>
      <c r="M73" s="984"/>
      <c r="Q73" s="137" t="s">
        <v>458</v>
      </c>
      <c r="R73" s="138">
        <v>900</v>
      </c>
      <c r="S73" s="138">
        <v>150</v>
      </c>
      <c r="T73" s="138">
        <v>100</v>
      </c>
      <c r="U73" s="138">
        <v>0</v>
      </c>
      <c r="V73" s="138">
        <v>600</v>
      </c>
      <c r="W73" s="139">
        <f>SUM(R73:V73)</f>
        <v>1750</v>
      </c>
      <c r="X73" s="122"/>
      <c r="Y73" s="122"/>
      <c r="Z73" s="122"/>
      <c r="AA73" s="122"/>
      <c r="AB73" s="122"/>
      <c r="AC73" s="122"/>
      <c r="AD73" s="122"/>
    </row>
    <row r="74" spans="1:30" s="2" customFormat="1" ht="12" customHeight="1" x14ac:dyDescent="0.2">
      <c r="A74" s="269" t="s">
        <v>414</v>
      </c>
      <c r="C74" s="984" t="s">
        <v>898</v>
      </c>
      <c r="D74" s="984"/>
      <c r="E74" s="984"/>
      <c r="F74" s="984"/>
      <c r="G74" s="984"/>
      <c r="H74" s="984"/>
      <c r="I74" s="984"/>
      <c r="J74" s="984"/>
      <c r="K74" s="984"/>
      <c r="L74" s="984"/>
      <c r="M74" s="984"/>
      <c r="Q74" s="140" t="s">
        <v>459</v>
      </c>
      <c r="R74" s="141">
        <v>900</v>
      </c>
      <c r="S74" s="141">
        <v>150</v>
      </c>
      <c r="T74" s="141">
        <v>100</v>
      </c>
      <c r="U74" s="141">
        <v>0</v>
      </c>
      <c r="V74" s="141">
        <v>1200</v>
      </c>
      <c r="W74" s="139">
        <f t="shared" ref="W74:W78" si="9">SUM(R74:V74)</f>
        <v>2350</v>
      </c>
      <c r="X74" s="122"/>
      <c r="Y74" s="122"/>
      <c r="Z74" s="122"/>
      <c r="AA74" s="122"/>
      <c r="AB74" s="122"/>
      <c r="AC74" s="122"/>
      <c r="AD74" s="122"/>
    </row>
    <row r="75" spans="1:30" s="2" customFormat="1" ht="12" customHeight="1" x14ac:dyDescent="0.2">
      <c r="A75" s="269" t="s">
        <v>415</v>
      </c>
      <c r="C75" s="984" t="s">
        <v>896</v>
      </c>
      <c r="D75" s="984"/>
      <c r="E75" s="984"/>
      <c r="F75" s="984"/>
      <c r="G75" s="984"/>
      <c r="H75" s="984"/>
      <c r="I75" s="984"/>
      <c r="J75" s="984"/>
      <c r="K75" s="984"/>
      <c r="L75" s="984"/>
      <c r="M75" s="984"/>
      <c r="Q75" s="140" t="s">
        <v>456</v>
      </c>
      <c r="R75" s="141">
        <v>1800</v>
      </c>
      <c r="S75" s="141">
        <v>300</v>
      </c>
      <c r="T75" s="141">
        <v>100</v>
      </c>
      <c r="U75" s="141">
        <v>900</v>
      </c>
      <c r="V75" s="141">
        <v>600</v>
      </c>
      <c r="W75" s="139">
        <f t="shared" si="9"/>
        <v>3700</v>
      </c>
      <c r="X75" s="122"/>
      <c r="Y75" s="122"/>
      <c r="Z75" s="122"/>
      <c r="AA75" s="122"/>
      <c r="AB75" s="122"/>
      <c r="AC75" s="122"/>
      <c r="AD75" s="122"/>
    </row>
    <row r="76" spans="1:30" s="2" customFormat="1" ht="12" customHeight="1" x14ac:dyDescent="0.2">
      <c r="A76" s="269" t="s">
        <v>416</v>
      </c>
      <c r="C76" s="984" t="s">
        <v>899</v>
      </c>
      <c r="D76" s="984"/>
      <c r="E76" s="984"/>
      <c r="F76" s="984"/>
      <c r="G76" s="984"/>
      <c r="H76" s="984"/>
      <c r="I76" s="984"/>
      <c r="J76" s="984"/>
      <c r="K76" s="984"/>
      <c r="L76" s="984"/>
      <c r="M76" s="984"/>
      <c r="Q76" s="140" t="s">
        <v>457</v>
      </c>
      <c r="R76" s="141">
        <v>2700</v>
      </c>
      <c r="S76" s="141">
        <v>300</v>
      </c>
      <c r="T76" s="141">
        <v>100</v>
      </c>
      <c r="U76" s="141">
        <v>900</v>
      </c>
      <c r="V76" s="141">
        <v>0</v>
      </c>
      <c r="W76" s="139">
        <f t="shared" si="9"/>
        <v>4000</v>
      </c>
      <c r="X76" s="122"/>
      <c r="Y76" s="122"/>
      <c r="Z76" s="122"/>
      <c r="AA76" s="122"/>
      <c r="AB76" s="122"/>
      <c r="AC76" s="122"/>
      <c r="AD76" s="122"/>
    </row>
    <row r="77" spans="1:30" s="2" customFormat="1" ht="12" customHeight="1" x14ac:dyDescent="0.2">
      <c r="A77" s="269" t="s">
        <v>417</v>
      </c>
      <c r="C77" s="984" t="s">
        <v>900</v>
      </c>
      <c r="D77" s="984"/>
      <c r="E77" s="984"/>
      <c r="F77" s="984"/>
      <c r="G77" s="984"/>
      <c r="H77" s="984"/>
      <c r="I77" s="984"/>
      <c r="J77" s="984"/>
      <c r="K77" s="984"/>
      <c r="L77" s="984"/>
      <c r="M77" s="984"/>
      <c r="Q77" s="140" t="s">
        <v>108</v>
      </c>
      <c r="R77" s="141">
        <v>2700</v>
      </c>
      <c r="S77" s="141">
        <v>300</v>
      </c>
      <c r="T77" s="141">
        <v>100</v>
      </c>
      <c r="U77" s="141">
        <v>1800</v>
      </c>
      <c r="V77" s="141">
        <v>0</v>
      </c>
      <c r="W77" s="139">
        <f t="shared" si="9"/>
        <v>4900</v>
      </c>
      <c r="X77" s="122"/>
      <c r="Y77" s="122"/>
      <c r="Z77" s="122"/>
      <c r="AA77" s="122"/>
      <c r="AB77" s="122"/>
      <c r="AC77" s="122"/>
      <c r="AD77" s="122"/>
    </row>
    <row r="78" spans="1:30" s="2" customFormat="1" ht="12" customHeight="1" thickBot="1" x14ac:dyDescent="0.25">
      <c r="A78" s="269" t="s">
        <v>419</v>
      </c>
      <c r="C78" s="984" t="s">
        <v>901</v>
      </c>
      <c r="D78" s="984"/>
      <c r="E78" s="984"/>
      <c r="F78" s="984"/>
      <c r="G78" s="984"/>
      <c r="H78" s="984"/>
      <c r="I78" s="984"/>
      <c r="J78" s="984"/>
      <c r="K78" s="984"/>
      <c r="L78" s="984"/>
      <c r="M78" s="984"/>
      <c r="O78" s="1"/>
      <c r="Q78" s="142" t="s">
        <v>109</v>
      </c>
      <c r="R78" s="143">
        <v>2700</v>
      </c>
      <c r="S78" s="143">
        <v>450</v>
      </c>
      <c r="T78" s="143">
        <v>200</v>
      </c>
      <c r="U78" s="143">
        <v>2700</v>
      </c>
      <c r="V78" s="143">
        <v>600</v>
      </c>
      <c r="W78" s="139">
        <f t="shared" si="9"/>
        <v>6650</v>
      </c>
      <c r="X78" s="122"/>
      <c r="Y78" s="122"/>
      <c r="Z78" s="122"/>
      <c r="AA78" s="122"/>
      <c r="AB78" s="122"/>
      <c r="AC78" s="122"/>
      <c r="AD78" s="122"/>
    </row>
    <row r="79" spans="1:30" s="2" customFormat="1" ht="12" customHeight="1" thickBot="1" x14ac:dyDescent="0.25">
      <c r="A79" s="269" t="s">
        <v>420</v>
      </c>
      <c r="C79" s="984" t="s">
        <v>902</v>
      </c>
      <c r="D79" s="984"/>
      <c r="E79" s="984"/>
      <c r="F79" s="984"/>
      <c r="G79" s="984"/>
      <c r="H79" s="984"/>
      <c r="I79" s="984"/>
      <c r="J79" s="984"/>
      <c r="K79" s="984"/>
      <c r="L79" s="984"/>
      <c r="M79" s="984"/>
      <c r="Q79" s="948" t="s">
        <v>110</v>
      </c>
      <c r="R79" s="949"/>
      <c r="S79" s="949"/>
      <c r="T79" s="949"/>
      <c r="U79" s="949"/>
      <c r="V79" s="949"/>
      <c r="W79" s="950"/>
      <c r="X79" s="122"/>
      <c r="Y79" s="122"/>
      <c r="Z79" s="122"/>
      <c r="AA79" s="122"/>
      <c r="AB79" s="122"/>
      <c r="AC79" s="122"/>
      <c r="AD79" s="122"/>
    </row>
    <row r="80" spans="1:30" s="2" customFormat="1" ht="12" customHeight="1" x14ac:dyDescent="0.2">
      <c r="A80" s="269" t="s">
        <v>433</v>
      </c>
      <c r="C80" s="900" t="s">
        <v>421</v>
      </c>
      <c r="D80" s="900"/>
      <c r="E80" s="900"/>
      <c r="F80" s="900"/>
      <c r="G80" s="900"/>
      <c r="H80" s="900"/>
      <c r="I80" s="900"/>
      <c r="J80" s="900"/>
      <c r="K80" s="900"/>
      <c r="L80" s="900"/>
      <c r="M80" s="900"/>
      <c r="W80" s="122"/>
      <c r="X80" s="122"/>
      <c r="Y80" s="122"/>
      <c r="Z80" s="122"/>
      <c r="AA80" s="122"/>
      <c r="AB80" s="122"/>
      <c r="AC80" s="122"/>
      <c r="AD80" s="122"/>
    </row>
    <row r="81" spans="1:30" s="2" customFormat="1" ht="12" customHeight="1" thickBot="1" x14ac:dyDescent="0.25">
      <c r="A81" s="269" t="s">
        <v>434</v>
      </c>
      <c r="B81" s="1"/>
      <c r="C81" s="900" t="s">
        <v>426</v>
      </c>
      <c r="D81" s="900"/>
      <c r="E81" s="900"/>
      <c r="F81" s="900"/>
      <c r="G81" s="900"/>
      <c r="H81" s="900"/>
      <c r="I81" s="900"/>
      <c r="J81" s="900"/>
      <c r="K81" s="900"/>
      <c r="L81" s="900"/>
      <c r="M81" s="900"/>
      <c r="W81" s="122"/>
      <c r="X81" s="122"/>
      <c r="Y81" s="122"/>
      <c r="Z81" s="122"/>
      <c r="AA81" s="122"/>
      <c r="AB81" s="122"/>
      <c r="AC81" s="122"/>
      <c r="AD81" s="122"/>
    </row>
    <row r="82" spans="1:30" s="2" customFormat="1" ht="12" customHeight="1" x14ac:dyDescent="0.2">
      <c r="P82" s="970" t="s">
        <v>22</v>
      </c>
      <c r="Q82" s="951"/>
      <c r="R82" s="951"/>
      <c r="S82" s="951"/>
      <c r="T82" s="971"/>
    </row>
    <row r="83" spans="1:30" s="2" customFormat="1" ht="12" customHeight="1" thickBot="1" x14ac:dyDescent="0.25">
      <c r="P83" s="972"/>
      <c r="Q83" s="891"/>
      <c r="R83" s="891"/>
      <c r="S83" s="891"/>
      <c r="T83" s="973"/>
      <c r="U83" s="122"/>
    </row>
    <row r="84" spans="1:30" s="2" customFormat="1" ht="12" customHeight="1" x14ac:dyDescent="0.2">
      <c r="P84" s="95"/>
      <c r="Q84" s="96"/>
      <c r="R84" s="473" t="s">
        <v>33</v>
      </c>
      <c r="S84" s="474"/>
      <c r="T84" s="475"/>
      <c r="U84" s="122"/>
      <c r="V84" s="122"/>
      <c r="W84" s="122"/>
      <c r="X84" s="122"/>
      <c r="Y84" s="122"/>
      <c r="Z84" s="122"/>
      <c r="AA84" s="18"/>
    </row>
    <row r="85" spans="1:30" s="2" customFormat="1" ht="12" customHeight="1" thickBot="1" x14ac:dyDescent="0.25">
      <c r="P85" s="98" t="s">
        <v>121</v>
      </c>
      <c r="Q85" s="99"/>
      <c r="R85" s="100" t="s">
        <v>122</v>
      </c>
      <c r="S85" s="100" t="s">
        <v>38</v>
      </c>
      <c r="T85" s="99" t="s">
        <v>123</v>
      </c>
      <c r="U85" s="122"/>
      <c r="V85" s="122"/>
      <c r="W85" s="122"/>
      <c r="X85" s="122"/>
      <c r="Y85" s="122"/>
      <c r="Z85" s="122"/>
      <c r="AA85" s="18"/>
    </row>
    <row r="86" spans="1:30" ht="12" customHeight="1" x14ac:dyDescent="0.2">
      <c r="P86" s="101" t="s">
        <v>480</v>
      </c>
      <c r="Q86" s="22" t="s">
        <v>311</v>
      </c>
      <c r="R86" s="106">
        <v>1</v>
      </c>
      <c r="S86" s="230">
        <f>IF($G$15=0,0,($G$15*0.1)*35)</f>
        <v>1575</v>
      </c>
      <c r="T86" s="104">
        <f t="shared" ref="T86:T89" si="10">R86*S86</f>
        <v>1575</v>
      </c>
      <c r="U86" s="168" t="s">
        <v>41</v>
      </c>
      <c r="V86" s="122"/>
      <c r="W86" s="122"/>
      <c r="X86" s="122"/>
      <c r="Y86" s="122"/>
      <c r="Z86" s="122"/>
      <c r="AA86" s="18"/>
    </row>
    <row r="87" spans="1:30" ht="12" customHeight="1" x14ac:dyDescent="0.2">
      <c r="P87" s="101" t="s">
        <v>481</v>
      </c>
      <c r="Q87" s="22" t="s">
        <v>313</v>
      </c>
      <c r="R87" s="106">
        <v>1</v>
      </c>
      <c r="S87" s="230">
        <f>IF($G$15&lt;=450,S110,(IF($G$15&lt;=600,S111,(IF($G$15&lt;=750,S112,(IF($G$15&lt;=1000,S113,(IF($G$15&lt;=1500,S114,(IF($G$15&gt;1500,S115)))))))))))</f>
        <v>120</v>
      </c>
      <c r="T87" s="104">
        <f t="shared" si="10"/>
        <v>120</v>
      </c>
      <c r="U87" s="168"/>
      <c r="V87" s="122"/>
      <c r="W87" s="122"/>
      <c r="X87" s="122"/>
      <c r="Y87" s="122"/>
      <c r="Z87" s="122"/>
    </row>
    <row r="88" spans="1:30" ht="12" customHeight="1" x14ac:dyDescent="0.2">
      <c r="P88" s="101" t="s">
        <v>482</v>
      </c>
      <c r="Q88" s="22" t="s">
        <v>315</v>
      </c>
      <c r="R88" s="106">
        <v>1</v>
      </c>
      <c r="S88" s="230">
        <f>IF($G$15&lt;=450,T110,(IF($G$15&lt;=600,T111,(IF($G$15&lt;=750,T112,(IF($G$15&lt;=1000,T113,(IF($G$15&lt;=1500,T114,(IF($G$15&gt;1500,T115)))))))))))</f>
        <v>150</v>
      </c>
      <c r="T88" s="104">
        <f t="shared" si="10"/>
        <v>150</v>
      </c>
      <c r="U88" s="168" t="s">
        <v>36</v>
      </c>
      <c r="V88" s="122"/>
      <c r="W88" s="122"/>
      <c r="X88" s="122"/>
      <c r="Y88" s="122"/>
      <c r="Z88" s="122"/>
    </row>
    <row r="89" spans="1:30" ht="12" customHeight="1" x14ac:dyDescent="0.2">
      <c r="P89" s="105" t="s">
        <v>485</v>
      </c>
      <c r="Q89" s="22" t="s">
        <v>486</v>
      </c>
      <c r="R89" s="106">
        <v>1</v>
      </c>
      <c r="S89" s="300">
        <f>IF($G$15&lt;=450,W110,(IF($G$15&lt;=600,W111,(IF($G$15&lt;=750,W112,(IF($G$15&lt;=1000,W113,(IF($G$15&lt;=1500,W114,(IF($G$15&gt;1500,W115)))))))))))</f>
        <v>400</v>
      </c>
      <c r="T89" s="112">
        <f t="shared" si="10"/>
        <v>400</v>
      </c>
      <c r="V89" s="122"/>
      <c r="W89" s="122"/>
      <c r="X89" s="122"/>
      <c r="Y89" s="122"/>
      <c r="Z89" s="122"/>
      <c r="AA89" s="18"/>
    </row>
    <row r="90" spans="1:30" ht="12" customHeight="1" x14ac:dyDescent="0.2">
      <c r="P90" s="101"/>
      <c r="Q90" s="22"/>
      <c r="R90" s="80"/>
      <c r="S90" s="80" t="s">
        <v>319</v>
      </c>
      <c r="T90" s="73"/>
      <c r="U90" s="122"/>
      <c r="V90" s="122"/>
      <c r="W90" s="122"/>
      <c r="X90" s="122"/>
      <c r="Y90" s="122"/>
      <c r="Z90" s="122"/>
      <c r="AA90" s="18"/>
    </row>
    <row r="91" spans="1:30" ht="12" customHeight="1" thickBot="1" x14ac:dyDescent="0.25">
      <c r="P91" s="113" t="s">
        <v>320</v>
      </c>
      <c r="Q91" s="114"/>
      <c r="R91" s="148"/>
      <c r="S91" s="148"/>
      <c r="T91" s="116">
        <f>SUM(T86:T89)</f>
        <v>2245</v>
      </c>
      <c r="U91" s="122"/>
      <c r="V91" s="122"/>
      <c r="W91" s="122"/>
      <c r="X91" s="122"/>
      <c r="Y91" s="122"/>
      <c r="Z91" s="122"/>
      <c r="AA91" s="18"/>
    </row>
    <row r="92" spans="1:30" ht="12" customHeight="1" thickTop="1" thickBot="1" x14ac:dyDescent="0.25">
      <c r="A92" s="2"/>
      <c r="B92" s="2"/>
      <c r="C92" s="2"/>
      <c r="D92" s="2"/>
      <c r="E92" s="2"/>
      <c r="F92" s="2"/>
      <c r="G92" s="2"/>
      <c r="H92" s="7"/>
      <c r="I92" s="7"/>
      <c r="J92" s="7"/>
      <c r="K92" s="7"/>
      <c r="L92" s="7"/>
      <c r="M92" s="7"/>
      <c r="P92" s="18"/>
      <c r="Q92" s="32"/>
      <c r="R92" s="32"/>
      <c r="S92" s="32"/>
      <c r="T92" s="122"/>
      <c r="U92" s="122"/>
      <c r="V92" s="122"/>
      <c r="W92" s="122"/>
      <c r="X92" s="122"/>
      <c r="Y92" s="122"/>
      <c r="Z92" s="122"/>
      <c r="AA92" s="18"/>
    </row>
    <row r="93" spans="1:30" ht="12" customHeight="1" thickBot="1" x14ac:dyDescent="0.25">
      <c r="A93" s="55" t="s">
        <v>34</v>
      </c>
      <c r="B93" s="55"/>
      <c r="C93" s="55"/>
      <c r="D93" s="13"/>
      <c r="E93" s="56"/>
      <c r="F93" s="13"/>
      <c r="G93" s="57"/>
      <c r="H93" s="15"/>
      <c r="I93" s="15"/>
      <c r="J93" s="2"/>
      <c r="K93" s="2"/>
      <c r="L93" s="2"/>
      <c r="M93" s="869">
        <f>CurrentYear</f>
        <v>2013</v>
      </c>
      <c r="P93" s="945" t="s">
        <v>321</v>
      </c>
      <c r="Q93" s="946"/>
      <c r="R93" s="946"/>
      <c r="S93" s="946"/>
      <c r="T93" s="946"/>
      <c r="U93" s="946"/>
      <c r="V93" s="947"/>
      <c r="W93" s="122"/>
      <c r="X93" s="122"/>
      <c r="Y93" s="122"/>
      <c r="Z93" s="122"/>
      <c r="AA93" s="18"/>
    </row>
    <row r="94" spans="1:30" ht="12" customHeight="1" thickBot="1" x14ac:dyDescent="0.25">
      <c r="A94" s="58" t="s">
        <v>35</v>
      </c>
      <c r="B94" s="2"/>
      <c r="C94" s="2"/>
      <c r="D94" s="2"/>
      <c r="E94" s="2"/>
      <c r="F94" s="819" t="s">
        <v>436</v>
      </c>
      <c r="G94" s="820"/>
      <c r="H94" s="15"/>
      <c r="I94" s="15"/>
      <c r="J94" s="15"/>
      <c r="K94" s="2"/>
      <c r="L94" s="2"/>
      <c r="M94" s="255"/>
      <c r="P94" s="149" t="s">
        <v>23</v>
      </c>
      <c r="Q94" s="150" t="s">
        <v>24</v>
      </c>
      <c r="R94" s="151"/>
      <c r="S94" s="151"/>
      <c r="T94" s="151"/>
      <c r="U94" s="151"/>
      <c r="V94" s="152"/>
      <c r="W94" s="122"/>
      <c r="X94" s="122"/>
      <c r="Y94" s="122"/>
      <c r="Z94" s="122"/>
      <c r="AA94" s="18"/>
    </row>
    <row r="95" spans="1:30" ht="12" customHeight="1" x14ac:dyDescent="0.2">
      <c r="P95" s="68">
        <v>1</v>
      </c>
      <c r="Q95" s="153" t="s">
        <v>322</v>
      </c>
      <c r="R95" s="154"/>
      <c r="S95" s="154"/>
      <c r="T95" s="154"/>
      <c r="U95" s="154"/>
      <c r="V95" s="155"/>
      <c r="W95" s="122"/>
      <c r="X95" s="122"/>
      <c r="Y95" s="122"/>
      <c r="Z95" s="122"/>
      <c r="AA95" s="18"/>
    </row>
    <row r="96" spans="1:30" ht="12" customHeight="1" thickBot="1" x14ac:dyDescent="0.25">
      <c r="P96" s="71"/>
      <c r="Q96" s="164" t="s">
        <v>617</v>
      </c>
      <c r="R96" s="170"/>
      <c r="S96" s="170"/>
      <c r="T96" s="170"/>
      <c r="U96" s="170"/>
      <c r="V96" s="171"/>
      <c r="W96" s="18"/>
      <c r="X96" s="18"/>
      <c r="Y96" s="18"/>
      <c r="Z96" s="18"/>
      <c r="AA96" s="18"/>
    </row>
    <row r="97" spans="16:27" ht="12" customHeight="1" thickBot="1" x14ac:dyDescent="0.25">
      <c r="P97" s="18"/>
      <c r="Q97" s="18"/>
      <c r="R97" s="18"/>
      <c r="S97" s="18"/>
      <c r="T97" s="18"/>
      <c r="U97" s="18"/>
      <c r="V97" s="18"/>
      <c r="W97" s="18"/>
      <c r="X97" s="18"/>
      <c r="Y97" s="18"/>
      <c r="Z97" s="18"/>
      <c r="AA97" s="18"/>
    </row>
    <row r="98" spans="16:27" ht="12" customHeight="1" thickBot="1" x14ac:dyDescent="0.25">
      <c r="P98" s="18"/>
      <c r="Q98" s="945" t="s">
        <v>102</v>
      </c>
      <c r="R98" s="947"/>
      <c r="S98" s="172"/>
      <c r="T98" s="172"/>
      <c r="U98" s="172"/>
      <c r="V98" s="172"/>
      <c r="W98" s="172"/>
      <c r="X98" s="18"/>
      <c r="Y98" s="18"/>
      <c r="Z98" s="18"/>
      <c r="AA98" s="18"/>
    </row>
    <row r="99" spans="16:27" ht="12" customHeight="1" thickBot="1" x14ac:dyDescent="0.25">
      <c r="P99" s="18"/>
      <c r="Q99" s="173" t="s">
        <v>103</v>
      </c>
      <c r="R99" s="174" t="s">
        <v>329</v>
      </c>
      <c r="S99" s="175"/>
      <c r="T99" s="175"/>
      <c r="U99" s="175"/>
      <c r="V99" s="175"/>
      <c r="W99" s="175"/>
      <c r="X99" s="18"/>
      <c r="Y99" s="18"/>
      <c r="Z99" s="18"/>
      <c r="AA99" s="18"/>
    </row>
    <row r="100" spans="16:27" ht="12" customHeight="1" x14ac:dyDescent="0.2">
      <c r="P100" s="117"/>
      <c r="Q100" s="137" t="s">
        <v>458</v>
      </c>
      <c r="R100" s="177">
        <v>190</v>
      </c>
      <c r="S100" s="178"/>
      <c r="T100" s="178"/>
      <c r="U100" s="178"/>
      <c r="V100" s="178"/>
      <c r="W100" s="178"/>
      <c r="X100" s="117"/>
      <c r="Y100" s="117"/>
      <c r="Z100" s="117"/>
      <c r="AA100" s="117"/>
    </row>
    <row r="101" spans="16:27" ht="12" customHeight="1" x14ac:dyDescent="0.2">
      <c r="P101" s="117"/>
      <c r="Q101" s="140" t="s">
        <v>459</v>
      </c>
      <c r="R101" s="180">
        <v>250</v>
      </c>
      <c r="S101" s="178"/>
      <c r="T101" s="178"/>
      <c r="U101" s="178"/>
      <c r="V101" s="178"/>
      <c r="W101" s="178"/>
      <c r="X101" s="122"/>
      <c r="Y101" s="122"/>
      <c r="Z101" s="122"/>
      <c r="AA101" s="117"/>
    </row>
    <row r="102" spans="16:27" ht="12" customHeight="1" x14ac:dyDescent="0.2">
      <c r="P102" s="117"/>
      <c r="Q102" s="140" t="s">
        <v>456</v>
      </c>
      <c r="R102" s="180">
        <v>340</v>
      </c>
      <c r="S102" s="178"/>
      <c r="T102" s="178"/>
      <c r="U102" s="178"/>
      <c r="V102" s="178"/>
      <c r="W102" s="178"/>
      <c r="X102" s="122"/>
      <c r="Y102" s="122"/>
      <c r="Z102" s="122"/>
      <c r="AA102" s="117"/>
    </row>
    <row r="103" spans="16:27" ht="12" customHeight="1" x14ac:dyDescent="0.2">
      <c r="P103" s="117"/>
      <c r="Q103" s="140" t="s">
        <v>457</v>
      </c>
      <c r="R103" s="180">
        <v>350</v>
      </c>
      <c r="S103" s="178"/>
      <c r="T103" s="178"/>
      <c r="U103" s="178"/>
      <c r="V103" s="178"/>
      <c r="W103" s="178"/>
      <c r="X103" s="122"/>
      <c r="Y103" s="122"/>
      <c r="Z103" s="122"/>
      <c r="AA103" s="117"/>
    </row>
    <row r="104" spans="16:27" ht="12" customHeight="1" x14ac:dyDescent="0.2">
      <c r="P104" s="117"/>
      <c r="Q104" s="140" t="s">
        <v>108</v>
      </c>
      <c r="R104" s="180">
        <v>400</v>
      </c>
      <c r="S104" s="178"/>
      <c r="T104" s="178"/>
      <c r="U104" s="178"/>
      <c r="V104" s="178"/>
      <c r="W104" s="178"/>
      <c r="X104" s="122"/>
      <c r="Y104" s="122"/>
      <c r="Z104" s="122"/>
      <c r="AA104" s="117"/>
    </row>
    <row r="105" spans="16:27" ht="12" customHeight="1" thickBot="1" x14ac:dyDescent="0.25">
      <c r="P105" s="117"/>
      <c r="Q105" s="142" t="s">
        <v>109</v>
      </c>
      <c r="R105" s="181">
        <v>400</v>
      </c>
      <c r="S105" s="178"/>
      <c r="T105" s="178"/>
      <c r="U105" s="178"/>
      <c r="V105" s="178"/>
      <c r="W105" s="178"/>
      <c r="X105" s="122"/>
      <c r="Y105" s="122"/>
      <c r="Z105" s="122"/>
      <c r="AA105" s="117"/>
    </row>
    <row r="106" spans="16:27" ht="12" customHeight="1" thickBot="1" x14ac:dyDescent="0.25">
      <c r="P106" s="117"/>
      <c r="Q106" s="948" t="s">
        <v>110</v>
      </c>
      <c r="R106" s="950"/>
      <c r="S106" s="178"/>
      <c r="T106" s="178"/>
      <c r="U106" s="178"/>
      <c r="V106" s="178"/>
      <c r="W106" s="178"/>
      <c r="X106" s="122"/>
      <c r="Y106" s="122"/>
      <c r="Z106" s="122"/>
      <c r="AA106" s="117"/>
    </row>
    <row r="107" spans="16:27" ht="12" customHeight="1" thickBot="1" x14ac:dyDescent="0.25">
      <c r="P107" s="117"/>
      <c r="S107" s="32"/>
      <c r="T107" s="122"/>
      <c r="U107" s="122"/>
      <c r="V107" s="122"/>
      <c r="W107" s="122"/>
      <c r="X107" s="122"/>
      <c r="Y107" s="122"/>
      <c r="Z107" s="122"/>
      <c r="AA107" s="117"/>
    </row>
    <row r="108" spans="16:27" ht="12" customHeight="1" thickBot="1" x14ac:dyDescent="0.25">
      <c r="Q108" s="945" t="s">
        <v>102</v>
      </c>
      <c r="R108" s="946"/>
      <c r="S108" s="946"/>
      <c r="T108" s="946"/>
      <c r="U108" s="946"/>
      <c r="V108" s="946"/>
      <c r="W108" s="946"/>
      <c r="X108" s="947"/>
    </row>
    <row r="109" spans="16:27" ht="12" customHeight="1" thickBot="1" x14ac:dyDescent="0.25">
      <c r="Q109" s="134" t="s">
        <v>103</v>
      </c>
      <c r="R109" s="135" t="s">
        <v>324</v>
      </c>
      <c r="S109" s="135" t="s">
        <v>325</v>
      </c>
      <c r="T109" s="135" t="s">
        <v>326</v>
      </c>
      <c r="U109" s="135" t="s">
        <v>327</v>
      </c>
      <c r="V109" s="135" t="s">
        <v>328</v>
      </c>
      <c r="W109" s="135" t="s">
        <v>487</v>
      </c>
      <c r="X109" s="136" t="s">
        <v>179</v>
      </c>
    </row>
    <row r="110" spans="16:27" ht="12" customHeight="1" x14ac:dyDescent="0.2">
      <c r="Q110" s="137" t="s">
        <v>458</v>
      </c>
      <c r="R110" s="138">
        <v>1575</v>
      </c>
      <c r="S110" s="138">
        <v>120</v>
      </c>
      <c r="T110" s="138">
        <v>150</v>
      </c>
      <c r="U110" s="138">
        <v>300</v>
      </c>
      <c r="V110" s="138">
        <v>210</v>
      </c>
      <c r="W110" s="138">
        <v>400</v>
      </c>
      <c r="X110" s="139">
        <f>SUM(R110:W110)</f>
        <v>2755</v>
      </c>
    </row>
    <row r="111" spans="16:27" ht="12" customHeight="1" x14ac:dyDescent="0.2">
      <c r="Q111" s="140" t="s">
        <v>459</v>
      </c>
      <c r="R111" s="141">
        <v>2100</v>
      </c>
      <c r="S111" s="141">
        <v>120</v>
      </c>
      <c r="T111" s="141">
        <v>233</v>
      </c>
      <c r="U111" s="141">
        <v>300</v>
      </c>
      <c r="V111" s="141">
        <v>280</v>
      </c>
      <c r="W111" s="141">
        <v>400</v>
      </c>
      <c r="X111" s="139">
        <f t="shared" ref="X111:X115" si="11">SUM(R111:W111)</f>
        <v>3433</v>
      </c>
    </row>
    <row r="112" spans="16:27" ht="12" customHeight="1" x14ac:dyDescent="0.2">
      <c r="Q112" s="140" t="s">
        <v>456</v>
      </c>
      <c r="R112" s="141">
        <v>2625</v>
      </c>
      <c r="S112" s="141">
        <v>120</v>
      </c>
      <c r="T112" s="141">
        <v>350</v>
      </c>
      <c r="U112" s="141">
        <v>300</v>
      </c>
      <c r="V112" s="141">
        <v>310</v>
      </c>
      <c r="W112" s="141">
        <v>400</v>
      </c>
      <c r="X112" s="139">
        <f t="shared" si="11"/>
        <v>4105</v>
      </c>
    </row>
    <row r="113" spans="16:27" ht="12" customHeight="1" x14ac:dyDescent="0.2">
      <c r="Q113" s="140" t="s">
        <v>457</v>
      </c>
      <c r="R113" s="141">
        <v>3500</v>
      </c>
      <c r="S113" s="141">
        <v>120</v>
      </c>
      <c r="T113" s="141">
        <v>350</v>
      </c>
      <c r="U113" s="141">
        <v>300</v>
      </c>
      <c r="V113" s="141">
        <v>310</v>
      </c>
      <c r="W113" s="141">
        <v>400</v>
      </c>
      <c r="X113" s="139">
        <f t="shared" si="11"/>
        <v>4980</v>
      </c>
    </row>
    <row r="114" spans="16:27" ht="12" customHeight="1" x14ac:dyDescent="0.2">
      <c r="Q114" s="140" t="s">
        <v>108</v>
      </c>
      <c r="R114" s="141">
        <v>5250</v>
      </c>
      <c r="S114" s="141">
        <v>120</v>
      </c>
      <c r="T114" s="141">
        <v>400</v>
      </c>
      <c r="U114" s="141">
        <v>300</v>
      </c>
      <c r="V114" s="141">
        <v>400</v>
      </c>
      <c r="W114" s="141">
        <v>400</v>
      </c>
      <c r="X114" s="139">
        <f t="shared" si="11"/>
        <v>6870</v>
      </c>
    </row>
    <row r="115" spans="16:27" ht="12" customHeight="1" thickBot="1" x14ac:dyDescent="0.25">
      <c r="Q115" s="142" t="s">
        <v>109</v>
      </c>
      <c r="R115" s="143">
        <v>7000</v>
      </c>
      <c r="S115" s="143">
        <v>120</v>
      </c>
      <c r="T115" s="143">
        <v>400</v>
      </c>
      <c r="U115" s="143">
        <v>300</v>
      </c>
      <c r="V115" s="143">
        <v>400</v>
      </c>
      <c r="W115" s="143">
        <v>400</v>
      </c>
      <c r="X115" s="144">
        <f t="shared" si="11"/>
        <v>8620</v>
      </c>
    </row>
    <row r="116" spans="16:27" ht="12" customHeight="1" thickBot="1" x14ac:dyDescent="0.25">
      <c r="Q116" s="948" t="s">
        <v>110</v>
      </c>
      <c r="R116" s="949"/>
      <c r="S116" s="949"/>
      <c r="T116" s="949"/>
      <c r="U116" s="949"/>
      <c r="V116" s="949"/>
      <c r="W116" s="949"/>
      <c r="X116" s="950"/>
    </row>
    <row r="117" spans="16:27" ht="12" customHeight="1" x14ac:dyDescent="0.2"/>
    <row r="118" spans="16:27" ht="12" customHeight="1" x14ac:dyDescent="0.2"/>
    <row r="119" spans="16:27" ht="12" customHeight="1" x14ac:dyDescent="0.2">
      <c r="P119" s="983" t="s">
        <v>330</v>
      </c>
      <c r="Q119" s="983"/>
      <c r="R119" s="983"/>
      <c r="S119" s="983"/>
      <c r="T119" s="983"/>
    </row>
    <row r="120" spans="16:27" ht="12" customHeight="1" thickBot="1" x14ac:dyDescent="0.25">
      <c r="P120" s="891"/>
      <c r="Q120" s="891"/>
      <c r="R120" s="891"/>
      <c r="S120" s="891"/>
      <c r="T120" s="891"/>
      <c r="U120" s="122"/>
      <c r="V120" s="122"/>
      <c r="W120" s="122"/>
      <c r="X120" s="122"/>
      <c r="Y120" s="122"/>
      <c r="Z120" s="122"/>
    </row>
    <row r="121" spans="16:27" ht="12" customHeight="1" x14ac:dyDescent="0.2">
      <c r="P121" s="182"/>
      <c r="Q121" s="96"/>
      <c r="R121" s="473" t="s">
        <v>33</v>
      </c>
      <c r="S121" s="474"/>
      <c r="T121" s="475"/>
      <c r="U121" s="122"/>
      <c r="V121" s="122"/>
      <c r="W121" s="122"/>
      <c r="X121" s="122"/>
      <c r="Y121" s="122"/>
      <c r="Z121" s="122"/>
      <c r="AA121" s="18"/>
    </row>
    <row r="122" spans="16:27" ht="12" customHeight="1" thickBot="1" x14ac:dyDescent="0.25">
      <c r="P122" s="183" t="s">
        <v>121</v>
      </c>
      <c r="Q122" s="99"/>
      <c r="R122" s="100" t="s">
        <v>122</v>
      </c>
      <c r="S122" s="100" t="s">
        <v>38</v>
      </c>
      <c r="T122" s="99" t="s">
        <v>123</v>
      </c>
      <c r="U122" s="122"/>
      <c r="V122" s="122"/>
      <c r="W122" s="122"/>
      <c r="X122" s="122"/>
      <c r="Y122" s="122"/>
      <c r="Z122" s="122"/>
      <c r="AA122" s="18"/>
    </row>
    <row r="123" spans="16:27" ht="12" customHeight="1" x14ac:dyDescent="0.2">
      <c r="P123" s="21" t="s">
        <v>490</v>
      </c>
      <c r="Q123" s="22" t="s">
        <v>332</v>
      </c>
      <c r="R123" s="106">
        <v>1</v>
      </c>
      <c r="S123" s="167">
        <f>IF($G$15&lt;=450,R141,(IF($G$15&lt;=600,R142,(IF($G$15&lt;=750,R143,(IF($G$15&lt;=1000,R144,(IF($G$15&lt;=1500,R145,(IF($G$15&gt;1500,R146)))))))))))</f>
        <v>1200</v>
      </c>
      <c r="T123" s="104">
        <f>R123*S123</f>
        <v>1200</v>
      </c>
      <c r="U123" s="122"/>
      <c r="V123" s="122"/>
      <c r="W123" s="122"/>
      <c r="X123" s="122"/>
      <c r="Y123" s="122"/>
      <c r="Z123" s="122"/>
      <c r="AA123" s="18"/>
    </row>
    <row r="124" spans="16:27" ht="12" customHeight="1" x14ac:dyDescent="0.2">
      <c r="P124" s="21" t="s">
        <v>488</v>
      </c>
      <c r="Q124" s="22" t="s">
        <v>334</v>
      </c>
      <c r="R124" s="106">
        <v>1</v>
      </c>
      <c r="S124" s="167">
        <f>IF($G$15&lt;=450,S141,(IF($G$15&lt;=600,S142,(IF($G$15&lt;=750,S143,(IF($G$15&lt;=1000,S144,(IF($G$15&lt;=1500,S145,(IF($G$15&gt;1500,S146)))))))))))</f>
        <v>100</v>
      </c>
      <c r="T124" s="104">
        <f>R124*S124</f>
        <v>100</v>
      </c>
      <c r="U124" s="122"/>
      <c r="V124" s="122"/>
      <c r="W124" s="122"/>
      <c r="X124" s="122"/>
      <c r="Y124" s="122"/>
      <c r="Z124" s="122"/>
      <c r="AA124" s="18"/>
    </row>
    <row r="125" spans="16:27" ht="12" customHeight="1" x14ac:dyDescent="0.2">
      <c r="P125" s="21" t="s">
        <v>489</v>
      </c>
      <c r="Q125" s="22" t="s">
        <v>336</v>
      </c>
      <c r="R125" s="106">
        <v>1</v>
      </c>
      <c r="S125" s="169">
        <f>IF($G$15&lt;=450,T141,(IF($G$15&lt;=600,T142,(IF($G$15&lt;=750,T143,(IF($G$15&lt;=1000,T144,(IF($G$15&lt;=1500,T145,(IF($G$15&gt;1500,T146)))))))))))</f>
        <v>100</v>
      </c>
      <c r="T125" s="112">
        <f>R125*S125</f>
        <v>100</v>
      </c>
      <c r="U125" s="60" t="s">
        <v>41</v>
      </c>
      <c r="V125" s="122"/>
      <c r="W125" s="122"/>
      <c r="X125" s="122"/>
      <c r="Y125" s="122"/>
      <c r="Z125" s="122"/>
      <c r="AA125" s="18"/>
    </row>
    <row r="126" spans="16:27" ht="12" customHeight="1" x14ac:dyDescent="0.2">
      <c r="P126" s="48"/>
      <c r="Q126" s="22"/>
      <c r="R126" s="80"/>
      <c r="S126" s="80"/>
      <c r="T126" s="73"/>
      <c r="U126" s="122"/>
      <c r="V126" s="122"/>
      <c r="W126" s="122"/>
      <c r="X126" s="122"/>
      <c r="Y126" s="122"/>
      <c r="Z126" s="122"/>
    </row>
    <row r="127" spans="16:27" ht="12" customHeight="1" thickBot="1" x14ac:dyDescent="0.25">
      <c r="P127" s="44" t="s">
        <v>337</v>
      </c>
      <c r="Q127" s="45"/>
      <c r="R127" s="184"/>
      <c r="S127" s="184"/>
      <c r="T127" s="185">
        <f>SUM(T123:T125)</f>
        <v>1400</v>
      </c>
      <c r="U127" s="122"/>
      <c r="V127" s="122"/>
      <c r="W127" s="122"/>
      <c r="X127" s="122"/>
      <c r="Y127" s="122"/>
      <c r="Z127" s="122"/>
      <c r="AA127" s="18"/>
    </row>
    <row r="128" spans="16:27" ht="12" customHeight="1" thickBot="1" x14ac:dyDescent="0.25">
      <c r="P128" s="18"/>
      <c r="Q128" s="32"/>
      <c r="R128" s="32"/>
      <c r="S128" s="32"/>
      <c r="T128" s="122"/>
      <c r="U128" s="122"/>
      <c r="V128" s="122"/>
      <c r="W128" s="122"/>
      <c r="X128" s="122"/>
      <c r="Y128" s="122"/>
      <c r="Z128" s="122"/>
      <c r="AA128" s="18"/>
    </row>
    <row r="129" spans="16:27" ht="12" customHeight="1" thickBot="1" x14ac:dyDescent="0.25">
      <c r="P129" s="18"/>
      <c r="Q129" s="467" t="s">
        <v>102</v>
      </c>
      <c r="R129" s="469"/>
      <c r="S129" s="32"/>
      <c r="T129" s="122"/>
      <c r="U129" s="122"/>
      <c r="V129" s="122"/>
      <c r="W129" s="122"/>
      <c r="X129" s="122"/>
      <c r="Y129" s="122"/>
      <c r="Z129" s="122"/>
      <c r="AA129" s="18"/>
    </row>
    <row r="130" spans="16:27" ht="12" customHeight="1" thickBot="1" x14ac:dyDescent="0.25">
      <c r="P130" s="18"/>
      <c r="Q130" s="173" t="s">
        <v>103</v>
      </c>
      <c r="R130" s="174">
        <v>1</v>
      </c>
      <c r="S130" s="32"/>
      <c r="T130" s="122"/>
      <c r="U130" s="122"/>
      <c r="V130" s="122"/>
      <c r="W130" s="122"/>
      <c r="X130" s="122"/>
      <c r="Y130" s="122"/>
      <c r="Z130" s="122"/>
      <c r="AA130" s="18"/>
    </row>
    <row r="131" spans="16:27" ht="12" customHeight="1" x14ac:dyDescent="0.2">
      <c r="P131" s="117"/>
      <c r="Q131" s="137" t="s">
        <v>458</v>
      </c>
      <c r="R131" s="177">
        <v>100</v>
      </c>
      <c r="S131" s="117"/>
      <c r="T131" s="117"/>
      <c r="U131" s="117"/>
      <c r="V131" s="122"/>
      <c r="W131" s="122"/>
      <c r="X131" s="122"/>
      <c r="Y131" s="122"/>
      <c r="Z131" s="122"/>
      <c r="AA131" s="18"/>
    </row>
    <row r="132" spans="16:27" ht="12" customHeight="1" x14ac:dyDescent="0.2">
      <c r="P132" s="117"/>
      <c r="Q132" s="140" t="s">
        <v>459</v>
      </c>
      <c r="R132" s="180">
        <v>125</v>
      </c>
      <c r="S132" s="117"/>
      <c r="T132" s="117"/>
      <c r="U132" s="117"/>
      <c r="V132" s="117"/>
      <c r="W132" s="117"/>
      <c r="X132" s="117"/>
      <c r="Y132" s="117"/>
      <c r="Z132" s="117"/>
      <c r="AA132" s="117"/>
    </row>
    <row r="133" spans="16:27" ht="12" customHeight="1" x14ac:dyDescent="0.2">
      <c r="P133" s="117"/>
      <c r="Q133" s="140" t="s">
        <v>456</v>
      </c>
      <c r="R133" s="180">
        <v>150</v>
      </c>
      <c r="S133" s="117"/>
      <c r="T133" s="117"/>
      <c r="U133" s="117"/>
      <c r="V133" s="117"/>
      <c r="W133" s="117"/>
      <c r="X133" s="117"/>
      <c r="Y133" s="117"/>
      <c r="Z133" s="117"/>
      <c r="AA133" s="117"/>
    </row>
    <row r="134" spans="16:27" ht="12" customHeight="1" x14ac:dyDescent="0.2">
      <c r="P134" s="117"/>
      <c r="Q134" s="140" t="s">
        <v>457</v>
      </c>
      <c r="R134" s="180">
        <v>150</v>
      </c>
      <c r="S134" s="117"/>
      <c r="T134" s="117"/>
      <c r="U134" s="117"/>
      <c r="V134" s="117"/>
      <c r="W134" s="117"/>
      <c r="X134" s="117"/>
      <c r="Y134" s="117"/>
      <c r="Z134" s="117"/>
      <c r="AA134" s="117"/>
    </row>
    <row r="135" spans="16:27" ht="12" customHeight="1" x14ac:dyDescent="0.2">
      <c r="P135" s="117"/>
      <c r="Q135" s="140" t="s">
        <v>108</v>
      </c>
      <c r="R135" s="180">
        <v>150</v>
      </c>
      <c r="S135" s="117"/>
      <c r="T135" s="117"/>
      <c r="U135" s="117"/>
      <c r="V135" s="117"/>
      <c r="W135" s="117"/>
      <c r="X135" s="117"/>
      <c r="Y135" s="117"/>
      <c r="Z135" s="117"/>
      <c r="AA135" s="117"/>
    </row>
    <row r="136" spans="16:27" ht="12" customHeight="1" thickBot="1" x14ac:dyDescent="0.25">
      <c r="P136" s="117"/>
      <c r="Q136" s="142" t="s">
        <v>109</v>
      </c>
      <c r="R136" s="181">
        <v>150</v>
      </c>
      <c r="S136" s="32"/>
      <c r="T136" s="122"/>
      <c r="U136" s="122"/>
      <c r="V136" s="117"/>
      <c r="W136" s="117"/>
      <c r="X136" s="117"/>
      <c r="Y136" s="117"/>
      <c r="Z136" s="117"/>
      <c r="AA136" s="117"/>
    </row>
    <row r="137" spans="16:27" ht="12" customHeight="1" thickBot="1" x14ac:dyDescent="0.25">
      <c r="P137" s="117"/>
      <c r="Q137" s="186" t="s">
        <v>110</v>
      </c>
      <c r="R137" s="472"/>
      <c r="S137" s="32"/>
      <c r="T137" s="122"/>
      <c r="U137" s="122"/>
      <c r="V137" s="122"/>
      <c r="W137" s="122"/>
      <c r="X137" s="122"/>
      <c r="Y137" s="122"/>
      <c r="Z137" s="122"/>
      <c r="AA137" s="117"/>
    </row>
    <row r="138" spans="16:27" ht="12" customHeight="1" thickBot="1" x14ac:dyDescent="0.25">
      <c r="P138" s="117"/>
      <c r="S138" s="32"/>
      <c r="T138" s="122"/>
      <c r="U138" s="122"/>
      <c r="V138" s="122"/>
      <c r="W138" s="122"/>
      <c r="X138" s="122"/>
      <c r="Y138" s="122"/>
      <c r="Z138" s="122"/>
      <c r="AA138" s="117"/>
    </row>
    <row r="139" spans="16:27" ht="12" customHeight="1" thickBot="1" x14ac:dyDescent="0.25">
      <c r="Q139" s="945" t="s">
        <v>102</v>
      </c>
      <c r="R139" s="946"/>
      <c r="S139" s="946"/>
      <c r="T139" s="946"/>
      <c r="U139" s="947"/>
      <c r="W139" s="122"/>
      <c r="X139" s="122"/>
      <c r="Y139" s="122"/>
      <c r="Z139" s="122"/>
      <c r="AA139" s="117"/>
    </row>
    <row r="140" spans="16:27" ht="12" customHeight="1" thickBot="1" x14ac:dyDescent="0.25">
      <c r="P140" s="117"/>
      <c r="Q140" s="134" t="s">
        <v>103</v>
      </c>
      <c r="R140" s="135" t="s">
        <v>338</v>
      </c>
      <c r="S140" s="135" t="s">
        <v>339</v>
      </c>
      <c r="T140" s="135" t="s">
        <v>340</v>
      </c>
      <c r="U140" s="136" t="s">
        <v>179</v>
      </c>
      <c r="W140" s="122"/>
      <c r="X140" s="122"/>
      <c r="Y140" s="122"/>
      <c r="Z140" s="122"/>
      <c r="AA140" s="117"/>
    </row>
    <row r="141" spans="16:27" ht="12" customHeight="1" x14ac:dyDescent="0.2">
      <c r="Q141" s="137" t="s">
        <v>458</v>
      </c>
      <c r="R141" s="138">
        <v>1200</v>
      </c>
      <c r="S141" s="138">
        <v>100</v>
      </c>
      <c r="T141" s="138">
        <v>100</v>
      </c>
      <c r="U141" s="139">
        <f>SUM(R141:T141)</f>
        <v>1400</v>
      </c>
    </row>
    <row r="142" spans="16:27" ht="12" customHeight="1" x14ac:dyDescent="0.2">
      <c r="Q142" s="140" t="s">
        <v>459</v>
      </c>
      <c r="R142" s="141">
        <v>1200</v>
      </c>
      <c r="S142" s="141">
        <v>100</v>
      </c>
      <c r="T142" s="141">
        <v>150</v>
      </c>
      <c r="U142" s="139">
        <f t="shared" ref="U142:U146" si="12">SUM(R142:T142)</f>
        <v>1450</v>
      </c>
    </row>
    <row r="143" spans="16:27" ht="12" customHeight="1" x14ac:dyDescent="0.2">
      <c r="Q143" s="140" t="s">
        <v>456</v>
      </c>
      <c r="R143" s="141">
        <v>2400</v>
      </c>
      <c r="S143" s="141">
        <v>100</v>
      </c>
      <c r="T143" s="141">
        <v>200</v>
      </c>
      <c r="U143" s="139">
        <f t="shared" si="12"/>
        <v>2700</v>
      </c>
    </row>
    <row r="144" spans="16:27" ht="12" customHeight="1" x14ac:dyDescent="0.2">
      <c r="Q144" s="140" t="s">
        <v>457</v>
      </c>
      <c r="R144" s="141">
        <v>2400</v>
      </c>
      <c r="S144" s="141">
        <v>200</v>
      </c>
      <c r="T144" s="141">
        <v>300</v>
      </c>
      <c r="U144" s="139">
        <f t="shared" si="12"/>
        <v>2900</v>
      </c>
    </row>
    <row r="145" spans="16:21" ht="12" customHeight="1" x14ac:dyDescent="0.2">
      <c r="Q145" s="140" t="s">
        <v>108</v>
      </c>
      <c r="R145" s="141">
        <v>3600</v>
      </c>
      <c r="S145" s="141">
        <v>200</v>
      </c>
      <c r="T145" s="141">
        <v>450</v>
      </c>
      <c r="U145" s="139">
        <f t="shared" si="12"/>
        <v>4250</v>
      </c>
    </row>
    <row r="146" spans="16:21" ht="12" customHeight="1" thickBot="1" x14ac:dyDescent="0.25">
      <c r="Q146" s="142" t="s">
        <v>109</v>
      </c>
      <c r="R146" s="143">
        <v>4800</v>
      </c>
      <c r="S146" s="143">
        <v>200</v>
      </c>
      <c r="T146" s="143">
        <v>600</v>
      </c>
      <c r="U146" s="139">
        <f t="shared" si="12"/>
        <v>5600</v>
      </c>
    </row>
    <row r="147" spans="16:21" ht="12" customHeight="1" thickBot="1" x14ac:dyDescent="0.25">
      <c r="Q147" s="948" t="s">
        <v>110</v>
      </c>
      <c r="R147" s="949"/>
      <c r="S147" s="949"/>
      <c r="T147" s="949"/>
      <c r="U147" s="950"/>
    </row>
    <row r="148" spans="16:21" ht="12" customHeight="1" x14ac:dyDescent="0.2"/>
    <row r="149" spans="16:21" ht="12" customHeight="1" thickBot="1" x14ac:dyDescent="0.25"/>
    <row r="150" spans="16:21" ht="12" customHeight="1" x14ac:dyDescent="0.2">
      <c r="P150" s="970" t="s">
        <v>341</v>
      </c>
      <c r="Q150" s="951"/>
      <c r="R150" s="951"/>
      <c r="S150" s="951"/>
      <c r="T150" s="971"/>
    </row>
    <row r="151" spans="16:21" ht="12" customHeight="1" thickBot="1" x14ac:dyDescent="0.25">
      <c r="P151" s="972"/>
      <c r="Q151" s="891"/>
      <c r="R151" s="891"/>
      <c r="S151" s="891"/>
      <c r="T151" s="973"/>
    </row>
    <row r="152" spans="16:21" ht="12" customHeight="1" x14ac:dyDescent="0.2">
      <c r="P152" s="182"/>
      <c r="Q152" s="96"/>
      <c r="R152" s="473" t="s">
        <v>33</v>
      </c>
      <c r="S152" s="474"/>
      <c r="T152" s="475"/>
    </row>
    <row r="153" spans="16:21" ht="12" customHeight="1" thickBot="1" x14ac:dyDescent="0.25">
      <c r="P153" s="183" t="s">
        <v>121</v>
      </c>
      <c r="Q153" s="99"/>
      <c r="R153" s="100" t="s">
        <v>122</v>
      </c>
      <c r="S153" s="100" t="s">
        <v>38</v>
      </c>
      <c r="T153" s="99" t="s">
        <v>123</v>
      </c>
    </row>
    <row r="154" spans="16:21" ht="12" customHeight="1" x14ac:dyDescent="0.2">
      <c r="P154" s="21" t="s">
        <v>491</v>
      </c>
      <c r="Q154" s="22" t="s">
        <v>343</v>
      </c>
      <c r="R154" s="284">
        <v>1</v>
      </c>
      <c r="S154" s="167">
        <f>IF($G$15&lt;=450,R162,(IF($G$15&lt;=600,R163,(IF($G$15&lt;=750,R164,(IF($G$15&lt;=1000,R165,(IF($G$15&lt;=1500,R166,(IF($G$15&gt;1500,R167)))))))))))</f>
        <v>1400</v>
      </c>
      <c r="T154" s="104">
        <f>R154*S154</f>
        <v>1400</v>
      </c>
    </row>
    <row r="155" spans="16:21" ht="12" customHeight="1" x14ac:dyDescent="0.2">
      <c r="P155" s="21" t="s">
        <v>492</v>
      </c>
      <c r="Q155" s="22" t="s">
        <v>494</v>
      </c>
      <c r="R155" s="146">
        <v>1</v>
      </c>
      <c r="S155" s="167">
        <f>IF($G$15&lt;=450,S162,(IF($G$15&lt;=600,S163,(IF($G$15&lt;=750,S164,(IF($G$15&lt;=1000,S165,(IF($G$15&lt;=1500,S166,(IF($G$15&gt;1500,S167)))))))))))</f>
        <v>0</v>
      </c>
      <c r="T155" s="104">
        <f>R155*S155</f>
        <v>0</v>
      </c>
    </row>
    <row r="156" spans="16:21" ht="12" customHeight="1" x14ac:dyDescent="0.2">
      <c r="P156" s="21" t="s">
        <v>493</v>
      </c>
      <c r="Q156" s="22" t="s">
        <v>495</v>
      </c>
      <c r="R156" s="187">
        <v>1</v>
      </c>
      <c r="S156" s="106">
        <f>IF($G$15&lt;=450,T162,(IF($G$15&lt;=600,T163,(IF($G$15&lt;=750,T164,(IF($G$15&lt;=1000,T165,(IF($G$15&lt;=1500,T166,(IF($G$15&gt;1500,T167)))))))))))</f>
        <v>200</v>
      </c>
      <c r="T156" s="112">
        <f>R156*S156</f>
        <v>200</v>
      </c>
    </row>
    <row r="157" spans="16:21" ht="12" customHeight="1" x14ac:dyDescent="0.2">
      <c r="P157" s="48"/>
      <c r="Q157" s="22"/>
      <c r="R157" s="80"/>
      <c r="S157" s="80"/>
      <c r="T157" s="73"/>
    </row>
    <row r="158" spans="16:21" ht="12" customHeight="1" thickBot="1" x14ac:dyDescent="0.25">
      <c r="P158" s="44" t="s">
        <v>346</v>
      </c>
      <c r="Q158" s="45"/>
      <c r="R158" s="184"/>
      <c r="S158" s="184"/>
      <c r="T158" s="185">
        <f>SUM(T154:T156)</f>
        <v>1600</v>
      </c>
    </row>
    <row r="159" spans="16:21" ht="12" customHeight="1" thickBot="1" x14ac:dyDescent="0.25"/>
    <row r="160" spans="16:21" ht="12" customHeight="1" thickBot="1" x14ac:dyDescent="0.25">
      <c r="Q160" s="945" t="s">
        <v>102</v>
      </c>
      <c r="R160" s="946"/>
      <c r="S160" s="946"/>
      <c r="T160" s="946"/>
      <c r="U160" s="947"/>
    </row>
    <row r="161" spans="16:33" ht="12" customHeight="1" thickBot="1" x14ac:dyDescent="0.25">
      <c r="Q161" s="134" t="s">
        <v>103</v>
      </c>
      <c r="R161" s="135" t="s">
        <v>496</v>
      </c>
      <c r="S161" s="135" t="s">
        <v>497</v>
      </c>
      <c r="T161" s="135" t="s">
        <v>498</v>
      </c>
      <c r="U161" s="136" t="s">
        <v>179</v>
      </c>
    </row>
    <row r="162" spans="16:33" ht="12" customHeight="1" x14ac:dyDescent="0.2">
      <c r="Q162" s="137" t="s">
        <v>458</v>
      </c>
      <c r="R162" s="138">
        <v>1400</v>
      </c>
      <c r="S162" s="138">
        <v>0</v>
      </c>
      <c r="T162" s="138">
        <v>200</v>
      </c>
      <c r="U162" s="139">
        <f>SUM(R162:T162)</f>
        <v>1600</v>
      </c>
    </row>
    <row r="163" spans="16:33" ht="12" customHeight="1" x14ac:dyDescent="0.2">
      <c r="Q163" s="140" t="s">
        <v>459</v>
      </c>
      <c r="R163" s="141">
        <v>1500</v>
      </c>
      <c r="S163" s="141">
        <v>1200</v>
      </c>
      <c r="T163" s="141">
        <v>200</v>
      </c>
      <c r="U163" s="139">
        <f t="shared" ref="U163:U167" si="13">SUM(R163:T163)</f>
        <v>2900</v>
      </c>
    </row>
    <row r="164" spans="16:33" ht="12" customHeight="1" x14ac:dyDescent="0.2">
      <c r="Q164" s="140" t="s">
        <v>456</v>
      </c>
      <c r="R164" s="141">
        <v>1600</v>
      </c>
      <c r="S164" s="141">
        <v>1200</v>
      </c>
      <c r="T164" s="141">
        <v>200</v>
      </c>
      <c r="U164" s="139">
        <f t="shared" si="13"/>
        <v>3000</v>
      </c>
    </row>
    <row r="165" spans="16:33" ht="12" customHeight="1" x14ac:dyDescent="0.2">
      <c r="Q165" s="140" t="s">
        <v>457</v>
      </c>
      <c r="R165" s="141">
        <v>2800</v>
      </c>
      <c r="S165" s="141">
        <v>1200</v>
      </c>
      <c r="T165" s="141">
        <v>400</v>
      </c>
      <c r="U165" s="139">
        <f t="shared" si="13"/>
        <v>4400</v>
      </c>
    </row>
    <row r="166" spans="16:33" ht="12" customHeight="1" x14ac:dyDescent="0.2">
      <c r="Q166" s="140" t="s">
        <v>108</v>
      </c>
      <c r="R166" s="141">
        <v>3000</v>
      </c>
      <c r="S166" s="141">
        <v>2400</v>
      </c>
      <c r="T166" s="141">
        <v>400</v>
      </c>
      <c r="U166" s="139">
        <f t="shared" si="13"/>
        <v>5800</v>
      </c>
    </row>
    <row r="167" spans="16:33" ht="12" customHeight="1" thickBot="1" x14ac:dyDescent="0.25">
      <c r="Q167" s="142" t="s">
        <v>109</v>
      </c>
      <c r="R167" s="143">
        <v>3000</v>
      </c>
      <c r="S167" s="143">
        <v>2400</v>
      </c>
      <c r="T167" s="143">
        <v>400</v>
      </c>
      <c r="U167" s="139">
        <f t="shared" si="13"/>
        <v>5800</v>
      </c>
    </row>
    <row r="168" spans="16:33" ht="12" customHeight="1" thickBot="1" x14ac:dyDescent="0.25">
      <c r="Q168" s="948" t="s">
        <v>110</v>
      </c>
      <c r="R168" s="949"/>
      <c r="S168" s="949"/>
      <c r="T168" s="949"/>
      <c r="U168" s="950"/>
    </row>
    <row r="169" spans="16:33" ht="12" customHeight="1" x14ac:dyDescent="0.2"/>
    <row r="170" spans="16:33" ht="12" customHeight="1" x14ac:dyDescent="0.2"/>
    <row r="171" spans="16:33" ht="12" customHeight="1" thickBot="1" x14ac:dyDescent="0.25"/>
    <row r="172" spans="16:33" ht="12" customHeight="1" x14ac:dyDescent="0.2">
      <c r="P172" s="970" t="s">
        <v>120</v>
      </c>
      <c r="Q172" s="951"/>
      <c r="R172" s="951"/>
      <c r="S172" s="951"/>
      <c r="T172" s="971"/>
      <c r="U172" s="2"/>
      <c r="V172" s="2"/>
      <c r="W172" s="2"/>
      <c r="X172" s="2"/>
      <c r="Y172" s="2"/>
      <c r="Z172" s="2"/>
      <c r="AA172" s="2"/>
      <c r="AB172" s="2"/>
      <c r="AC172" s="2"/>
      <c r="AD172" s="2"/>
      <c r="AE172" s="2"/>
      <c r="AF172" s="2"/>
      <c r="AG172" s="2"/>
    </row>
    <row r="173" spans="16:33" ht="12" customHeight="1" thickBot="1" x14ac:dyDescent="0.25">
      <c r="P173" s="972"/>
      <c r="Q173" s="891"/>
      <c r="R173" s="891"/>
      <c r="S173" s="891"/>
      <c r="T173" s="973"/>
      <c r="U173" s="2"/>
      <c r="V173" s="2"/>
      <c r="W173" s="2"/>
      <c r="X173" s="2"/>
      <c r="Y173" s="2"/>
      <c r="Z173" s="2"/>
      <c r="AA173" s="18"/>
      <c r="AB173" s="2"/>
      <c r="AC173" s="2"/>
      <c r="AD173" s="2"/>
      <c r="AE173" s="2"/>
      <c r="AF173" s="2"/>
      <c r="AG173" s="2"/>
    </row>
    <row r="174" spans="16:33" ht="12" customHeight="1" x14ac:dyDescent="0.2">
      <c r="P174" s="95"/>
      <c r="Q174" s="96"/>
      <c r="R174" s="473" t="s">
        <v>33</v>
      </c>
      <c r="S174" s="474"/>
      <c r="T174" s="475"/>
      <c r="U174" s="2"/>
      <c r="V174" s="2"/>
      <c r="W174" s="2"/>
      <c r="X174" s="2"/>
      <c r="Y174" s="2"/>
      <c r="Z174" s="2"/>
      <c r="AA174" s="18"/>
      <c r="AB174" s="2"/>
      <c r="AC174" s="2"/>
      <c r="AD174" s="2"/>
      <c r="AE174" s="2"/>
      <c r="AF174" s="2"/>
      <c r="AG174" s="2"/>
    </row>
    <row r="175" spans="16:33" ht="12" customHeight="1" thickBot="1" x14ac:dyDescent="0.25">
      <c r="P175" s="98" t="s">
        <v>121</v>
      </c>
      <c r="Q175" s="99"/>
      <c r="R175" s="100" t="s">
        <v>122</v>
      </c>
      <c r="S175" s="100" t="s">
        <v>38</v>
      </c>
      <c r="T175" s="99" t="s">
        <v>123</v>
      </c>
      <c r="U175" s="2"/>
      <c r="V175" s="2"/>
      <c r="W175" s="2"/>
      <c r="X175" s="2"/>
      <c r="Y175" s="2"/>
      <c r="Z175" s="2"/>
      <c r="AA175" s="18"/>
      <c r="AB175" s="2"/>
      <c r="AC175" s="2"/>
      <c r="AD175" s="2"/>
      <c r="AE175" s="2"/>
      <c r="AF175" s="2"/>
      <c r="AG175" s="2"/>
    </row>
    <row r="176" spans="16:33" ht="12" customHeight="1" x14ac:dyDescent="0.2">
      <c r="P176" s="101" t="s">
        <v>465</v>
      </c>
      <c r="Q176" s="22" t="s">
        <v>125</v>
      </c>
      <c r="R176" s="106">
        <v>1</v>
      </c>
      <c r="S176" s="188">
        <f>IF($G$15&lt;=450,R196,(IF($G$15&lt;=600,R197,(IF($G$15&lt;=750,R198,(IF($G$15&lt;=1000,R199,(IF($G$15&lt;=1500,R200,(IF($G$15&gt;1500,R201)))))))))))</f>
        <v>200</v>
      </c>
      <c r="T176" s="104">
        <f>R176*S176</f>
        <v>200</v>
      </c>
      <c r="U176" s="168"/>
      <c r="V176" s="2"/>
      <c r="W176" s="2"/>
      <c r="X176" s="2"/>
      <c r="Y176" s="2"/>
      <c r="Z176" s="2"/>
      <c r="AA176" s="2"/>
      <c r="AB176" s="2"/>
      <c r="AC176" s="2"/>
      <c r="AD176" s="2"/>
      <c r="AE176" s="2"/>
      <c r="AF176" s="2"/>
      <c r="AG176" s="2"/>
    </row>
    <row r="177" spans="16:33" ht="12" customHeight="1" x14ac:dyDescent="0.2">
      <c r="P177" s="101" t="s">
        <v>466</v>
      </c>
      <c r="Q177" s="22" t="s">
        <v>127</v>
      </c>
      <c r="R177" s="106">
        <v>1</v>
      </c>
      <c r="S177" s="188">
        <f>IF($G$15&lt;=450,S196,(IF($G$15&lt;=600,S197,(IF($G$15&lt;=750,S198,(IF($G$15&lt;=1000,S199,(IF($G$15&lt;=1500,S200,(IF($G$15&gt;1500,S201)))))))))))</f>
        <v>200</v>
      </c>
      <c r="T177" s="104">
        <f t="shared" ref="T177:T190" si="14">R177*S177</f>
        <v>200</v>
      </c>
      <c r="U177" s="168"/>
      <c r="V177" s="2"/>
      <c r="W177" s="2"/>
      <c r="X177" s="2"/>
      <c r="Y177" s="2"/>
      <c r="Z177" s="2"/>
      <c r="AA177" s="2"/>
      <c r="AB177" s="2"/>
      <c r="AC177" s="2"/>
      <c r="AD177" s="2"/>
      <c r="AE177" s="2"/>
      <c r="AF177" s="2"/>
      <c r="AG177" s="2"/>
    </row>
    <row r="178" spans="16:33" ht="12" customHeight="1" x14ac:dyDescent="0.2">
      <c r="P178" s="101" t="s">
        <v>467</v>
      </c>
      <c r="Q178" s="22" t="s">
        <v>129</v>
      </c>
      <c r="R178" s="106">
        <v>1</v>
      </c>
      <c r="S178" s="167">
        <f>IF($G$15&lt;=450,T196,(IF($G$15&lt;=600,T197,(IF($G$15&lt;=750,T198,(IF($G$15&lt;=1000,T199,(IF($G$15&lt;=1500,T200,(IF($G$15&gt;1500,T201)))))))))))</f>
        <v>150</v>
      </c>
      <c r="T178" s="104">
        <f t="shared" si="14"/>
        <v>150</v>
      </c>
      <c r="U178" s="168"/>
      <c r="V178" s="2"/>
      <c r="W178" s="2"/>
      <c r="X178" s="2"/>
      <c r="Y178" s="2"/>
      <c r="Z178" s="2"/>
      <c r="AA178" s="2"/>
      <c r="AB178" s="2"/>
      <c r="AC178" s="2"/>
      <c r="AD178" s="2"/>
      <c r="AE178" s="2"/>
      <c r="AF178" s="2"/>
      <c r="AG178" s="2"/>
    </row>
    <row r="179" spans="16:33" ht="12" customHeight="1" x14ac:dyDescent="0.2">
      <c r="P179" s="101" t="s">
        <v>468</v>
      </c>
      <c r="Q179" s="22" t="s">
        <v>131</v>
      </c>
      <c r="R179" s="106">
        <v>1</v>
      </c>
      <c r="S179" s="167">
        <f>IF($G$15&lt;=450,U$196,(IF($G$15&lt;=600,U$197,(IF($G$15&lt;=750,U$198,(IF($G$15&lt;=1000,U$199,(IF($G$15&lt;=1500,U$200,(IF($G$15&gt;1500,U$201)))))))))))</f>
        <v>0</v>
      </c>
      <c r="T179" s="104">
        <f t="shared" si="14"/>
        <v>0</v>
      </c>
      <c r="U179" s="168"/>
      <c r="V179" s="2"/>
      <c r="W179" s="2"/>
      <c r="X179" s="2"/>
      <c r="Y179" s="2"/>
      <c r="Z179" s="2"/>
      <c r="AA179" s="2"/>
      <c r="AB179" s="2"/>
      <c r="AC179" s="2"/>
      <c r="AD179" s="2"/>
      <c r="AE179" s="2"/>
      <c r="AF179" s="2"/>
      <c r="AG179" s="2"/>
    </row>
    <row r="180" spans="16:33" ht="12" customHeight="1" x14ac:dyDescent="0.2">
      <c r="P180" s="101" t="s">
        <v>469</v>
      </c>
      <c r="Q180" s="22" t="s">
        <v>133</v>
      </c>
      <c r="R180" s="106">
        <v>1</v>
      </c>
      <c r="S180" s="167">
        <f>IF($G$15&lt;=450,V$196,(IF($G$15&lt;=600,V$197,(IF($G$15&lt;=750,V$198,(IF($G$15&lt;=1000,V$199,(IF($G$15&lt;=1500,V$200,(IF($G$15&gt;1500,V$201)))))))))))</f>
        <v>250</v>
      </c>
      <c r="T180" s="104">
        <f t="shared" si="14"/>
        <v>250</v>
      </c>
      <c r="U180" s="168"/>
      <c r="V180" s="2"/>
      <c r="W180" s="2"/>
      <c r="X180" s="2"/>
      <c r="Y180" s="2"/>
      <c r="Z180" s="2"/>
      <c r="AA180" s="2"/>
      <c r="AB180" s="2"/>
      <c r="AC180" s="2"/>
      <c r="AD180" s="2"/>
      <c r="AE180" s="2"/>
      <c r="AF180" s="2"/>
      <c r="AG180" s="2"/>
    </row>
    <row r="181" spans="16:33" ht="12" customHeight="1" x14ac:dyDescent="0.2">
      <c r="P181" s="101" t="s">
        <v>470</v>
      </c>
      <c r="Q181" s="22" t="s">
        <v>135</v>
      </c>
      <c r="R181" s="106">
        <v>1</v>
      </c>
      <c r="S181" s="167">
        <f>IF($G$15&lt;=450,W$196,(IF($G$15&lt;=600,W$197,(IF($G$15&lt;=750,W$198,(IF($G$15&lt;=1000,W$199,(IF($G$15&lt;=1500,W$200,(IF($G$15&gt;1500,W$201)))))))))))</f>
        <v>200</v>
      </c>
      <c r="T181" s="104">
        <f t="shared" si="14"/>
        <v>200</v>
      </c>
      <c r="U181" s="168"/>
      <c r="V181" s="2"/>
      <c r="W181" s="2"/>
      <c r="X181" s="2"/>
      <c r="Y181" s="2"/>
      <c r="Z181" s="2"/>
      <c r="AA181" s="2"/>
      <c r="AB181" s="2"/>
      <c r="AC181" s="2"/>
      <c r="AD181" s="2"/>
      <c r="AE181" s="2"/>
      <c r="AF181" s="2"/>
      <c r="AG181" s="2"/>
    </row>
    <row r="182" spans="16:33" ht="12" customHeight="1" x14ac:dyDescent="0.2">
      <c r="P182" s="101" t="s">
        <v>471</v>
      </c>
      <c r="Q182" s="22" t="s">
        <v>137</v>
      </c>
      <c r="R182" s="106">
        <v>1</v>
      </c>
      <c r="S182" s="167">
        <f>IF($G$15&lt;=450,X$196,(IF($G$15&lt;=600,X$197,(IF($G$15&lt;=750,X$198,(IF($G$15&lt;=1000,X$199,(IF($G$15&lt;=1500,X$200,(IF($G$15&gt;1500,X$201)))))))))))</f>
        <v>150</v>
      </c>
      <c r="T182" s="104">
        <f t="shared" si="14"/>
        <v>150</v>
      </c>
      <c r="U182" s="168"/>
      <c r="V182" s="2"/>
      <c r="W182" s="2"/>
      <c r="X182" s="2"/>
      <c r="Y182" s="2"/>
      <c r="Z182" s="2"/>
      <c r="AA182" s="2"/>
      <c r="AB182" s="2"/>
      <c r="AC182" s="2"/>
      <c r="AD182" s="2"/>
      <c r="AE182" s="2"/>
      <c r="AF182" s="2"/>
      <c r="AG182" s="2"/>
    </row>
    <row r="183" spans="16:33" ht="12" customHeight="1" x14ac:dyDescent="0.2">
      <c r="P183" s="101" t="s">
        <v>472</v>
      </c>
      <c r="Q183" s="22" t="s">
        <v>139</v>
      </c>
      <c r="R183" s="106">
        <v>1</v>
      </c>
      <c r="S183" s="167">
        <f>IF($G$15&lt;=450,Y$196,(IF($G$15&lt;=600,Y$197,(IF($G$15&lt;=750,Y$198,(IF($G$15&lt;=1000,Y$199,(IF($G$15&lt;=1500,Y$200,(IF($G$15&gt;1500,Y$201)))))))))))</f>
        <v>85</v>
      </c>
      <c r="T183" s="104">
        <f t="shared" si="14"/>
        <v>85</v>
      </c>
      <c r="U183" s="168"/>
      <c r="V183" s="2"/>
      <c r="W183" s="2"/>
      <c r="X183" s="2"/>
      <c r="Y183" s="2"/>
      <c r="Z183" s="2"/>
      <c r="AA183" s="2"/>
      <c r="AB183" s="2"/>
      <c r="AC183" s="2"/>
      <c r="AD183" s="2"/>
      <c r="AE183" s="2"/>
      <c r="AF183" s="2"/>
      <c r="AG183" s="2"/>
    </row>
    <row r="184" spans="16:33" ht="12" customHeight="1" x14ac:dyDescent="0.2">
      <c r="P184" s="101" t="s">
        <v>473</v>
      </c>
      <c r="Q184" s="22" t="s">
        <v>141</v>
      </c>
      <c r="R184" s="106">
        <v>1</v>
      </c>
      <c r="S184" s="167">
        <f>IF($G$15&lt;=450,Z$196,(IF($G$15&lt;=600,Z$197,(IF($G$15&lt;=750,Z$198,(IF($G$15&lt;=1000,Z$199,(IF($G$15&lt;=1500,Z$200,(IF($G$15&gt;1500,Z$201)))))))))))</f>
        <v>200</v>
      </c>
      <c r="T184" s="104">
        <f t="shared" si="14"/>
        <v>200</v>
      </c>
      <c r="U184" s="168"/>
      <c r="V184" s="2"/>
      <c r="W184" s="2"/>
      <c r="X184" s="2"/>
      <c r="Y184" s="2"/>
      <c r="Z184" s="2"/>
      <c r="AA184" s="2"/>
      <c r="AB184" s="2"/>
      <c r="AC184" s="2"/>
      <c r="AD184" s="2"/>
      <c r="AE184" s="2"/>
      <c r="AF184" s="2"/>
      <c r="AG184" s="2"/>
    </row>
    <row r="185" spans="16:33" ht="12" customHeight="1" x14ac:dyDescent="0.2">
      <c r="P185" s="101" t="s">
        <v>474</v>
      </c>
      <c r="Q185" s="22" t="s">
        <v>143</v>
      </c>
      <c r="R185" s="106">
        <v>1</v>
      </c>
      <c r="S185" s="167">
        <f>IF($G$15&lt;=450,AA$196,(IF($G$15&lt;=600,AA$197,(IF($G$15&lt;=750,AA$198,(IF($G$15&lt;=1000,AA$199,(IF($G$15&lt;=1500,AA$200,(IF($G$15&gt;1500,AA$201)))))))))))</f>
        <v>60</v>
      </c>
      <c r="T185" s="104">
        <f t="shared" si="14"/>
        <v>60</v>
      </c>
      <c r="U185" s="168"/>
      <c r="V185" s="2"/>
      <c r="W185" s="2"/>
      <c r="X185" s="2"/>
      <c r="Y185" s="2"/>
      <c r="Z185" s="2"/>
      <c r="AA185" s="2"/>
      <c r="AB185" s="2"/>
      <c r="AC185" s="2"/>
      <c r="AD185" s="2"/>
      <c r="AE185" s="2"/>
      <c r="AF185" s="2"/>
      <c r="AG185" s="2"/>
    </row>
    <row r="186" spans="16:33" ht="12" customHeight="1" x14ac:dyDescent="0.2">
      <c r="P186" s="101" t="s">
        <v>475</v>
      </c>
      <c r="Q186" s="22" t="s">
        <v>145</v>
      </c>
      <c r="R186" s="106">
        <v>1</v>
      </c>
      <c r="S186" s="167">
        <f>IF($G$15&lt;=450,AB$196,(IF($G$15&lt;=600,AB$197,(IF($G$15&lt;=750,AB$198,(IF($G$15&lt;=1000,AB$199,(IF($G$15&lt;=1500,AB$200,(IF($G$15&gt;1500,AB$201)))))))))))</f>
        <v>120</v>
      </c>
      <c r="T186" s="104">
        <f t="shared" si="14"/>
        <v>120</v>
      </c>
      <c r="U186" s="168"/>
      <c r="V186" s="2"/>
      <c r="W186" s="2"/>
      <c r="X186" s="2"/>
      <c r="Y186" s="2"/>
      <c r="Z186" s="2"/>
      <c r="AA186" s="2"/>
      <c r="AB186" s="2"/>
      <c r="AC186" s="2"/>
      <c r="AD186" s="2"/>
      <c r="AE186" s="2"/>
      <c r="AF186" s="2"/>
      <c r="AG186" s="2"/>
    </row>
    <row r="187" spans="16:33" ht="12" customHeight="1" x14ac:dyDescent="0.2">
      <c r="P187" s="101" t="s">
        <v>476</v>
      </c>
      <c r="Q187" s="59" t="s">
        <v>147</v>
      </c>
      <c r="R187" s="189">
        <v>1</v>
      </c>
      <c r="S187" s="167">
        <f>IF($G$15&lt;=450,AC$196,(IF($G$15&lt;=600,AC$197,(IF($G$15&lt;=750,AC$198,(IF($G$15&lt;=1000,AC$199,(IF($G$15&lt;=1500,AC$200,(IF($G$15&gt;1500,AC$201)))))))))))</f>
        <v>0</v>
      </c>
      <c r="T187" s="190">
        <f t="shared" si="14"/>
        <v>0</v>
      </c>
      <c r="U187" s="168"/>
      <c r="V187" s="2"/>
      <c r="W187" s="2"/>
      <c r="X187" s="2"/>
      <c r="Y187" s="2"/>
      <c r="Z187" s="2"/>
      <c r="AA187" s="2"/>
      <c r="AB187" s="2"/>
      <c r="AC187" s="2"/>
      <c r="AD187" s="2"/>
      <c r="AE187" s="2"/>
      <c r="AF187" s="2"/>
      <c r="AG187" s="2"/>
    </row>
    <row r="188" spans="16:33" ht="12" customHeight="1" x14ac:dyDescent="0.2">
      <c r="P188" s="101" t="s">
        <v>477</v>
      </c>
      <c r="Q188" s="22" t="s">
        <v>149</v>
      </c>
      <c r="R188" s="191">
        <v>1</v>
      </c>
      <c r="S188" s="167">
        <f>IF($G$15&lt;=450,AD$196,(IF($G$15&lt;=600,AD$197,(IF($G$15&lt;=750,AD$198,(IF($G$15&lt;=1000,AD$199,(IF($G$15&lt;=1500,AD$200,(IF($G$15&gt;1500,AD$201)))))))))))</f>
        <v>200</v>
      </c>
      <c r="T188" s="104">
        <f t="shared" si="14"/>
        <v>200</v>
      </c>
      <c r="U188" s="168"/>
      <c r="V188" s="2"/>
      <c r="W188" s="2"/>
      <c r="X188" s="2"/>
      <c r="Y188" s="2"/>
      <c r="Z188" s="2"/>
      <c r="AA188" s="2"/>
      <c r="AB188" s="2"/>
      <c r="AC188" s="2"/>
      <c r="AD188" s="2"/>
      <c r="AE188" s="2"/>
      <c r="AF188" s="2"/>
      <c r="AG188" s="2"/>
    </row>
    <row r="189" spans="16:33" ht="12" customHeight="1" x14ac:dyDescent="0.2">
      <c r="P189" s="101" t="s">
        <v>478</v>
      </c>
      <c r="Q189" s="22" t="s">
        <v>151</v>
      </c>
      <c r="R189" s="191">
        <v>1</v>
      </c>
      <c r="S189" s="167">
        <f>IF($G$15&lt;=450,AE$196,(IF($G$15&lt;=600,AE$197,(IF($G$15&lt;=750,AE$198,(IF($G$15&lt;=1000,AE$199,(IF($G$15&lt;=1500,AE$200,(IF($G$15&gt;1500,AE$201)))))))))))</f>
        <v>347</v>
      </c>
      <c r="T189" s="104">
        <f t="shared" si="14"/>
        <v>347</v>
      </c>
      <c r="U189" s="168"/>
      <c r="V189" s="2"/>
      <c r="W189" s="2"/>
      <c r="X189" s="2"/>
      <c r="Y189" s="2"/>
      <c r="Z189" s="2"/>
      <c r="AA189" s="2"/>
      <c r="AB189" s="2"/>
      <c r="AC189" s="2"/>
      <c r="AD189" s="2"/>
      <c r="AE189" s="2"/>
      <c r="AF189" s="2"/>
      <c r="AG189" s="2"/>
    </row>
    <row r="190" spans="16:33" ht="12" customHeight="1" x14ac:dyDescent="0.2">
      <c r="P190" s="101" t="s">
        <v>479</v>
      </c>
      <c r="Q190" s="22" t="s">
        <v>153</v>
      </c>
      <c r="R190" s="191">
        <v>1</v>
      </c>
      <c r="S190" s="106">
        <f>IF($G$15&lt;=450,AF$196,(IF($G$15&lt;=600,AF$197,(IF($G$15&lt;=750,AF$198,(IF($G$15&lt;=1000,AF$199,(IF($G$15&lt;=1500,AF$200,(IF($G$15&gt;1500,AF$201)))))))))))</f>
        <v>120</v>
      </c>
      <c r="T190" s="112">
        <f t="shared" si="14"/>
        <v>120</v>
      </c>
      <c r="U190" s="2"/>
      <c r="V190" s="2"/>
      <c r="W190" s="2"/>
      <c r="X190" s="2"/>
      <c r="Y190" s="2"/>
      <c r="Z190" s="2"/>
      <c r="AA190" s="18"/>
      <c r="AB190" s="2"/>
      <c r="AC190" s="2"/>
      <c r="AD190" s="2"/>
      <c r="AE190" s="2"/>
      <c r="AF190" s="2"/>
      <c r="AG190" s="2"/>
    </row>
    <row r="191" spans="16:33" ht="12" customHeight="1" x14ac:dyDescent="0.2">
      <c r="P191" s="101"/>
      <c r="Q191" s="22"/>
      <c r="R191" s="49"/>
      <c r="S191" s="49"/>
      <c r="T191" s="73"/>
      <c r="U191" s="2"/>
      <c r="V191" s="2"/>
      <c r="W191" s="2"/>
      <c r="X191" s="2"/>
      <c r="Y191" s="2"/>
      <c r="Z191" s="2"/>
      <c r="AA191" s="18"/>
      <c r="AB191" s="2"/>
      <c r="AC191" s="2"/>
      <c r="AD191" s="2"/>
      <c r="AE191" s="2"/>
      <c r="AF191" s="2"/>
      <c r="AG191" s="2"/>
    </row>
    <row r="192" spans="16:33" ht="12" customHeight="1" thickBot="1" x14ac:dyDescent="0.25">
      <c r="P192" s="113" t="s">
        <v>154</v>
      </c>
      <c r="Q192" s="114"/>
      <c r="R192" s="192"/>
      <c r="S192" s="192"/>
      <c r="T192" s="116">
        <f>SUM(T176:T190)</f>
        <v>2282</v>
      </c>
      <c r="U192" s="2"/>
      <c r="V192" s="2"/>
      <c r="W192" s="2"/>
      <c r="X192" s="2"/>
      <c r="Y192" s="2"/>
      <c r="Z192" s="2"/>
      <c r="AA192" s="18"/>
      <c r="AB192" s="2"/>
      <c r="AC192" s="2"/>
      <c r="AD192" s="2"/>
      <c r="AE192" s="2"/>
      <c r="AF192" s="2"/>
      <c r="AG192" s="2"/>
    </row>
    <row r="193" spans="16:33" ht="12" customHeight="1" thickTop="1" thickBot="1" x14ac:dyDescent="0.25">
      <c r="P193" s="18"/>
      <c r="Q193" s="32"/>
      <c r="R193" s="32"/>
      <c r="S193" s="32"/>
      <c r="T193" s="122"/>
      <c r="U193" s="2"/>
      <c r="V193" s="2"/>
      <c r="W193" s="2"/>
      <c r="X193" s="2"/>
      <c r="Y193" s="2"/>
      <c r="Z193" s="2"/>
      <c r="AA193" s="18"/>
      <c r="AB193" s="2"/>
      <c r="AC193" s="2"/>
      <c r="AD193" s="2"/>
      <c r="AE193" s="2"/>
      <c r="AF193" s="2"/>
      <c r="AG193" s="2"/>
    </row>
    <row r="194" spans="16:33" ht="12" customHeight="1" thickBot="1" x14ac:dyDescent="0.25">
      <c r="P194" s="18"/>
      <c r="Q194" s="945" t="s">
        <v>102</v>
      </c>
      <c r="R194" s="946"/>
      <c r="S194" s="946"/>
      <c r="T194" s="946"/>
      <c r="U194" s="946"/>
      <c r="V194" s="946"/>
      <c r="W194" s="946"/>
      <c r="X194" s="946"/>
      <c r="Y194" s="946"/>
      <c r="Z194" s="946"/>
      <c r="AA194" s="946"/>
      <c r="AB194" s="946"/>
      <c r="AC194" s="946"/>
      <c r="AD194" s="946"/>
      <c r="AE194" s="946"/>
      <c r="AF194" s="946"/>
      <c r="AG194" s="947"/>
    </row>
    <row r="195" spans="16:33" ht="12" customHeight="1" thickBot="1" x14ac:dyDescent="0.25">
      <c r="P195" s="193"/>
      <c r="Q195" s="173" t="s">
        <v>103</v>
      </c>
      <c r="R195" s="194" t="s">
        <v>155</v>
      </c>
      <c r="S195" s="194" t="s">
        <v>156</v>
      </c>
      <c r="T195" s="194" t="s">
        <v>157</v>
      </c>
      <c r="U195" s="194" t="s">
        <v>158</v>
      </c>
      <c r="V195" s="194" t="s">
        <v>159</v>
      </c>
      <c r="W195" s="194" t="s">
        <v>160</v>
      </c>
      <c r="X195" s="194" t="s">
        <v>161</v>
      </c>
      <c r="Y195" s="194" t="s">
        <v>162</v>
      </c>
      <c r="Z195" s="194" t="s">
        <v>163</v>
      </c>
      <c r="AA195" s="194" t="s">
        <v>164</v>
      </c>
      <c r="AB195" s="194" t="s">
        <v>165</v>
      </c>
      <c r="AC195" s="194" t="s">
        <v>166</v>
      </c>
      <c r="AD195" s="194" t="s">
        <v>167</v>
      </c>
      <c r="AE195" s="194" t="s">
        <v>168</v>
      </c>
      <c r="AF195" s="174" t="s">
        <v>169</v>
      </c>
      <c r="AG195" s="174" t="s">
        <v>179</v>
      </c>
    </row>
    <row r="196" spans="16:33" ht="12" customHeight="1" x14ac:dyDescent="0.2">
      <c r="P196" s="193"/>
      <c r="Q196" s="137" t="s">
        <v>458</v>
      </c>
      <c r="R196" s="195">
        <v>200</v>
      </c>
      <c r="S196" s="195">
        <v>200</v>
      </c>
      <c r="T196" s="195">
        <v>150</v>
      </c>
      <c r="U196" s="195">
        <v>0</v>
      </c>
      <c r="V196" s="195">
        <v>250</v>
      </c>
      <c r="W196" s="195">
        <v>200</v>
      </c>
      <c r="X196" s="195">
        <v>150</v>
      </c>
      <c r="Y196" s="195">
        <v>85</v>
      </c>
      <c r="Z196" s="195">
        <v>200</v>
      </c>
      <c r="AA196" s="195">
        <v>60</v>
      </c>
      <c r="AB196" s="195">
        <v>120</v>
      </c>
      <c r="AC196" s="195">
        <v>0</v>
      </c>
      <c r="AD196" s="195">
        <v>200</v>
      </c>
      <c r="AE196" s="195">
        <v>347</v>
      </c>
      <c r="AF196" s="196">
        <v>120</v>
      </c>
      <c r="AG196" s="139">
        <f>SUM(R196:AF196)</f>
        <v>2282</v>
      </c>
    </row>
    <row r="197" spans="16:33" ht="12" customHeight="1" x14ac:dyDescent="0.2">
      <c r="P197" s="193"/>
      <c r="Q197" s="140" t="s">
        <v>459</v>
      </c>
      <c r="R197" s="197">
        <v>300</v>
      </c>
      <c r="S197" s="197">
        <v>300</v>
      </c>
      <c r="T197" s="197">
        <v>150</v>
      </c>
      <c r="U197" s="197">
        <v>0</v>
      </c>
      <c r="V197" s="197">
        <v>250</v>
      </c>
      <c r="W197" s="197">
        <v>250</v>
      </c>
      <c r="X197" s="197">
        <v>150</v>
      </c>
      <c r="Y197" s="197">
        <v>100</v>
      </c>
      <c r="Z197" s="197">
        <v>250</v>
      </c>
      <c r="AA197" s="197">
        <v>60</v>
      </c>
      <c r="AB197" s="197">
        <v>120</v>
      </c>
      <c r="AC197" s="197">
        <v>100</v>
      </c>
      <c r="AD197" s="197">
        <v>200</v>
      </c>
      <c r="AE197" s="197">
        <v>400</v>
      </c>
      <c r="AF197" s="198">
        <v>120</v>
      </c>
      <c r="AG197" s="139">
        <f t="shared" ref="AG197:AG201" si="15">SUM(R197:AF197)</f>
        <v>2750</v>
      </c>
    </row>
    <row r="198" spans="16:33" ht="12" customHeight="1" x14ac:dyDescent="0.2">
      <c r="P198" s="193"/>
      <c r="Q198" s="140" t="s">
        <v>456</v>
      </c>
      <c r="R198" s="197">
        <v>400</v>
      </c>
      <c r="S198" s="197">
        <v>400</v>
      </c>
      <c r="T198" s="197">
        <v>150</v>
      </c>
      <c r="U198" s="197">
        <v>120</v>
      </c>
      <c r="V198" s="197">
        <v>250</v>
      </c>
      <c r="W198" s="197">
        <v>300</v>
      </c>
      <c r="X198" s="197">
        <v>150</v>
      </c>
      <c r="Y198" s="197">
        <v>115</v>
      </c>
      <c r="Z198" s="197">
        <v>325</v>
      </c>
      <c r="AA198" s="197">
        <v>60</v>
      </c>
      <c r="AB198" s="197">
        <v>240</v>
      </c>
      <c r="AC198" s="197">
        <v>100</v>
      </c>
      <c r="AD198" s="197">
        <v>200</v>
      </c>
      <c r="AE198" s="197">
        <v>450</v>
      </c>
      <c r="AF198" s="198">
        <v>120</v>
      </c>
      <c r="AG198" s="139">
        <f t="shared" si="15"/>
        <v>3380</v>
      </c>
    </row>
    <row r="199" spans="16:33" ht="12" customHeight="1" x14ac:dyDescent="0.2">
      <c r="P199" s="193"/>
      <c r="Q199" s="140" t="s">
        <v>457</v>
      </c>
      <c r="R199" s="197">
        <v>450</v>
      </c>
      <c r="S199" s="197">
        <v>450</v>
      </c>
      <c r="T199" s="197">
        <v>150</v>
      </c>
      <c r="U199" s="197">
        <v>240</v>
      </c>
      <c r="V199" s="197">
        <v>250</v>
      </c>
      <c r="W199" s="197">
        <v>400</v>
      </c>
      <c r="X199" s="197">
        <v>200</v>
      </c>
      <c r="Y199" s="197">
        <v>80</v>
      </c>
      <c r="Z199" s="197">
        <v>400</v>
      </c>
      <c r="AA199" s="197">
        <v>120</v>
      </c>
      <c r="AB199" s="197">
        <v>480</v>
      </c>
      <c r="AC199" s="197">
        <v>100</v>
      </c>
      <c r="AD199" s="197">
        <v>250</v>
      </c>
      <c r="AE199" s="197">
        <v>500</v>
      </c>
      <c r="AF199" s="198">
        <v>120</v>
      </c>
      <c r="AG199" s="139">
        <f t="shared" si="15"/>
        <v>4190</v>
      </c>
    </row>
    <row r="200" spans="16:33" ht="12" customHeight="1" x14ac:dyDescent="0.2">
      <c r="P200" s="193"/>
      <c r="Q200" s="140" t="s">
        <v>108</v>
      </c>
      <c r="R200" s="197">
        <v>600</v>
      </c>
      <c r="S200" s="197">
        <v>600</v>
      </c>
      <c r="T200" s="197">
        <v>150</v>
      </c>
      <c r="U200" s="197">
        <v>240</v>
      </c>
      <c r="V200" s="197">
        <v>500</v>
      </c>
      <c r="W200" s="197">
        <v>600</v>
      </c>
      <c r="X200" s="197">
        <v>300</v>
      </c>
      <c r="Y200" s="197">
        <v>80</v>
      </c>
      <c r="Z200" s="197">
        <v>500</v>
      </c>
      <c r="AA200" s="197">
        <v>120</v>
      </c>
      <c r="AB200" s="197">
        <v>600</v>
      </c>
      <c r="AC200" s="197">
        <v>100</v>
      </c>
      <c r="AD200" s="197">
        <v>300</v>
      </c>
      <c r="AE200" s="197">
        <v>600</v>
      </c>
      <c r="AF200" s="198">
        <v>240</v>
      </c>
      <c r="AG200" s="139">
        <f t="shared" si="15"/>
        <v>5530</v>
      </c>
    </row>
    <row r="201" spans="16:33" ht="12" customHeight="1" thickBot="1" x14ac:dyDescent="0.25">
      <c r="P201" s="117"/>
      <c r="Q201" s="142" t="s">
        <v>109</v>
      </c>
      <c r="R201" s="199">
        <v>700</v>
      </c>
      <c r="S201" s="199">
        <v>700</v>
      </c>
      <c r="T201" s="199">
        <v>150</v>
      </c>
      <c r="U201" s="199">
        <v>360</v>
      </c>
      <c r="V201" s="199">
        <v>500</v>
      </c>
      <c r="W201" s="199">
        <v>600</v>
      </c>
      <c r="X201" s="199">
        <v>300</v>
      </c>
      <c r="Y201" s="199">
        <v>100</v>
      </c>
      <c r="Z201" s="199">
        <v>600</v>
      </c>
      <c r="AA201" s="199">
        <v>120</v>
      </c>
      <c r="AB201" s="199">
        <v>720</v>
      </c>
      <c r="AC201" s="199">
        <v>150</v>
      </c>
      <c r="AD201" s="199">
        <v>300</v>
      </c>
      <c r="AE201" s="199">
        <v>600</v>
      </c>
      <c r="AF201" s="200">
        <v>240</v>
      </c>
      <c r="AG201" s="139">
        <f t="shared" si="15"/>
        <v>6140</v>
      </c>
    </row>
    <row r="202" spans="16:33" ht="12" customHeight="1" thickBot="1" x14ac:dyDescent="0.25">
      <c r="P202" s="117"/>
      <c r="Q202" s="948" t="s">
        <v>110</v>
      </c>
      <c r="R202" s="949"/>
      <c r="S202" s="949"/>
      <c r="T202" s="949"/>
      <c r="U202" s="949"/>
      <c r="V202" s="949"/>
      <c r="W202" s="949"/>
      <c r="X202" s="949"/>
      <c r="Y202" s="949"/>
      <c r="Z202" s="949"/>
      <c r="AA202" s="949"/>
      <c r="AB202" s="949"/>
      <c r="AC202" s="949"/>
      <c r="AD202" s="949"/>
      <c r="AE202" s="949"/>
      <c r="AF202" s="949"/>
      <c r="AG202" s="950"/>
    </row>
    <row r="203" spans="16:33" ht="12" customHeight="1" x14ac:dyDescent="0.2">
      <c r="P203" s="117"/>
      <c r="AG203" s="2"/>
    </row>
    <row r="204" spans="16:33" ht="12" customHeight="1" x14ac:dyDescent="0.2">
      <c r="P204" s="2"/>
      <c r="Q204" s="2"/>
      <c r="R204" s="2"/>
      <c r="S204" s="2"/>
      <c r="T204" s="2"/>
      <c r="U204" s="2"/>
      <c r="V204" s="2"/>
      <c r="W204" s="2"/>
      <c r="X204" s="2"/>
      <c r="Y204" s="2"/>
      <c r="Z204" s="2"/>
      <c r="AA204" s="2"/>
      <c r="AB204" s="2"/>
      <c r="AC204" s="2"/>
      <c r="AD204" s="2"/>
      <c r="AE204" s="2"/>
      <c r="AF204" s="2"/>
      <c r="AG204" s="2"/>
    </row>
    <row r="205" spans="16:33" ht="12" customHeight="1" thickBot="1" x14ac:dyDescent="0.25">
      <c r="P205" s="2"/>
      <c r="Q205" s="2"/>
      <c r="R205" s="2"/>
      <c r="S205" s="2"/>
      <c r="T205" s="2"/>
      <c r="U205" s="2"/>
      <c r="V205" s="2"/>
      <c r="W205" s="2"/>
      <c r="X205" s="2"/>
      <c r="Y205" s="2"/>
      <c r="Z205" s="2"/>
      <c r="AA205" s="2"/>
      <c r="AB205" s="2"/>
      <c r="AC205" s="2"/>
      <c r="AD205" s="2"/>
      <c r="AE205" s="2"/>
      <c r="AF205" s="2"/>
      <c r="AG205" s="2"/>
    </row>
    <row r="206" spans="16:33" ht="12" customHeight="1" x14ac:dyDescent="0.2">
      <c r="P206" s="970" t="s">
        <v>171</v>
      </c>
      <c r="Q206" s="951"/>
      <c r="R206" s="951"/>
      <c r="S206" s="951"/>
      <c r="T206" s="971"/>
      <c r="U206" s="2"/>
      <c r="V206" s="2"/>
      <c r="W206" s="2"/>
      <c r="X206" s="2"/>
      <c r="Y206" s="2"/>
      <c r="Z206" s="2"/>
      <c r="AA206" s="2"/>
      <c r="AB206" s="2"/>
      <c r="AC206" s="2"/>
      <c r="AD206" s="2"/>
      <c r="AE206" s="2"/>
      <c r="AF206" s="2"/>
      <c r="AG206" s="2"/>
    </row>
    <row r="207" spans="16:33" ht="12" customHeight="1" thickBot="1" x14ac:dyDescent="0.25">
      <c r="P207" s="972"/>
      <c r="Q207" s="891"/>
      <c r="R207" s="891"/>
      <c r="S207" s="891"/>
      <c r="T207" s="973"/>
      <c r="U207" s="2"/>
      <c r="V207" s="2"/>
      <c r="W207" s="2"/>
      <c r="X207" s="2"/>
      <c r="Y207" s="2"/>
      <c r="Z207" s="2"/>
      <c r="AA207" s="2"/>
      <c r="AB207" s="2"/>
      <c r="AC207" s="2"/>
      <c r="AD207" s="2"/>
      <c r="AE207" s="2"/>
      <c r="AF207" s="2"/>
      <c r="AG207" s="2"/>
    </row>
    <row r="208" spans="16:33" ht="12" customHeight="1" x14ac:dyDescent="0.2">
      <c r="P208" s="95"/>
      <c r="Q208" s="96"/>
      <c r="R208" s="473" t="s">
        <v>33</v>
      </c>
      <c r="S208" s="474"/>
      <c r="T208" s="475"/>
      <c r="U208" s="2"/>
      <c r="V208" s="2"/>
      <c r="W208" s="2"/>
      <c r="X208" s="2"/>
      <c r="Y208" s="2"/>
      <c r="Z208" s="2"/>
      <c r="AA208" s="2"/>
      <c r="AB208" s="2"/>
      <c r="AC208" s="2"/>
      <c r="AD208" s="2"/>
      <c r="AE208" s="2"/>
      <c r="AF208" s="2"/>
      <c r="AG208" s="2"/>
    </row>
    <row r="209" spans="16:33" ht="12" customHeight="1" thickBot="1" x14ac:dyDescent="0.25">
      <c r="P209" s="98" t="s">
        <v>121</v>
      </c>
      <c r="Q209" s="99"/>
      <c r="R209" s="100" t="s">
        <v>122</v>
      </c>
      <c r="S209" s="100" t="s">
        <v>38</v>
      </c>
      <c r="T209" s="99" t="s">
        <v>123</v>
      </c>
      <c r="U209" s="2"/>
      <c r="V209" s="2"/>
      <c r="W209" s="2"/>
      <c r="X209" s="2"/>
      <c r="Y209" s="2"/>
      <c r="Z209" s="2"/>
      <c r="AA209" s="2"/>
      <c r="AB209" s="2"/>
      <c r="AC209" s="2"/>
      <c r="AD209" s="2"/>
      <c r="AE209" s="2"/>
      <c r="AF209" s="2"/>
      <c r="AG209" s="2"/>
    </row>
    <row r="210" spans="16:33" ht="12" customHeight="1" x14ac:dyDescent="0.2">
      <c r="P210" s="105" t="s">
        <v>508</v>
      </c>
      <c r="Q210" s="22" t="s">
        <v>173</v>
      </c>
      <c r="R210" s="106">
        <v>1</v>
      </c>
      <c r="S210" s="167">
        <f>IF($G$15&lt;=450,R222,(IF($G$15&lt;=600,R223,(IF($G$15&lt;=750,R224,(IF($G$15&lt;=1000,R225,(IF($G$15&lt;=1500,R226,(IF($G$15&gt;1500,R227)))))))))))</f>
        <v>7000</v>
      </c>
      <c r="T210" s="285">
        <f t="shared" ref="T210:T215" si="16">R210*S210</f>
        <v>7000</v>
      </c>
      <c r="U210" s="2"/>
      <c r="V210" s="2"/>
      <c r="W210" s="2"/>
      <c r="X210" s="2"/>
      <c r="Y210" s="2"/>
      <c r="Z210" s="2"/>
      <c r="AA210" s="2"/>
      <c r="AB210" s="2"/>
      <c r="AC210" s="2"/>
      <c r="AD210" s="2"/>
      <c r="AE210" s="2"/>
      <c r="AF210" s="2"/>
      <c r="AG210" s="2"/>
    </row>
    <row r="211" spans="16:33" ht="12" customHeight="1" x14ac:dyDescent="0.2">
      <c r="P211" s="105" t="s">
        <v>509</v>
      </c>
      <c r="Q211" s="22" t="s">
        <v>519</v>
      </c>
      <c r="R211" s="106">
        <v>1</v>
      </c>
      <c r="S211" s="167">
        <f>IF($G$15&lt;=450,S222,(IF($G$15&lt;=600,S223,(IF($G$15&lt;=750,S224,(IF($G$15&lt;=1000,S225,(IF($G$15&lt;=1500,S226,(IF($G$15&gt;1500,S227)))))))))))</f>
        <v>0</v>
      </c>
      <c r="T211" s="112">
        <f t="shared" si="16"/>
        <v>0</v>
      </c>
      <c r="U211" s="2"/>
      <c r="V211" s="2"/>
      <c r="W211" s="2"/>
      <c r="X211" s="2"/>
      <c r="Y211" s="2"/>
      <c r="Z211" s="2"/>
      <c r="AA211" s="2"/>
      <c r="AB211" s="2"/>
      <c r="AC211" s="2"/>
      <c r="AD211" s="2"/>
      <c r="AE211" s="2"/>
      <c r="AF211" s="2"/>
      <c r="AG211" s="2"/>
    </row>
    <row r="212" spans="16:33" ht="12" customHeight="1" x14ac:dyDescent="0.2">
      <c r="P212" s="105" t="s">
        <v>510</v>
      </c>
      <c r="Q212" s="22" t="s">
        <v>520</v>
      </c>
      <c r="R212" s="106">
        <v>1</v>
      </c>
      <c r="S212" s="167">
        <f>IF($G$15&lt;=450,T222,(IF($G$15&lt;=600,T223,(IF($G$15&lt;=750,T224,(IF($G$15&lt;=1000,T225,(IF($G$15&lt;=1500,T226,(IF($G$15&gt;1500,T227)))))))))))</f>
        <v>150</v>
      </c>
      <c r="T212" s="112">
        <f t="shared" si="16"/>
        <v>150</v>
      </c>
      <c r="AC212" s="2"/>
      <c r="AD212" s="2"/>
      <c r="AE212" s="2"/>
      <c r="AF212" s="2"/>
      <c r="AG212" s="2"/>
    </row>
    <row r="213" spans="16:33" ht="12" customHeight="1" x14ac:dyDescent="0.2">
      <c r="P213" s="105" t="s">
        <v>511</v>
      </c>
      <c r="Q213" s="22" t="s">
        <v>521</v>
      </c>
      <c r="R213" s="106">
        <v>1</v>
      </c>
      <c r="S213" s="167">
        <f>IF($G$15&lt;=450,U222,(IF($G$15&lt;=600,U223,(IF($G$15&lt;=750,U224,(IF($G$15&lt;=1000,U225,(IF($G$15&lt;=1500,U226,(IF($G$15&gt;1500,U227)))))))))))</f>
        <v>150</v>
      </c>
      <c r="T213" s="112">
        <f t="shared" si="16"/>
        <v>150</v>
      </c>
      <c r="AC213" s="2"/>
      <c r="AD213" s="2"/>
      <c r="AE213" s="2"/>
      <c r="AF213" s="2"/>
      <c r="AG213" s="2"/>
    </row>
    <row r="214" spans="16:33" ht="12" customHeight="1" x14ac:dyDescent="0.2">
      <c r="P214" s="105" t="s">
        <v>512</v>
      </c>
      <c r="Q214" s="22" t="s">
        <v>522</v>
      </c>
      <c r="R214" s="106">
        <v>1</v>
      </c>
      <c r="S214" s="167">
        <f>IF($G$15&lt;=450,V222,(IF($G$15&lt;=600,V223,(IF($G$15&lt;=750,V224,(IF($G$15&lt;=1000,V225,(IF($G$15&lt;=1500,V226,(IF($G$15&gt;1500,V227)))))))))))</f>
        <v>1200</v>
      </c>
      <c r="T214" s="112">
        <f t="shared" si="16"/>
        <v>1200</v>
      </c>
      <c r="AC214" s="2"/>
      <c r="AD214" s="2"/>
      <c r="AE214" s="2"/>
      <c r="AF214" s="2"/>
      <c r="AG214" s="2"/>
    </row>
    <row r="215" spans="16:33" ht="12" customHeight="1" x14ac:dyDescent="0.2">
      <c r="P215" s="105" t="s">
        <v>513</v>
      </c>
      <c r="Q215" s="22" t="s">
        <v>523</v>
      </c>
      <c r="R215" s="106">
        <v>1</v>
      </c>
      <c r="S215" s="167">
        <f>IF($G$15&lt;=450,W222,(IF($G$15&lt;=600,W223,(IF($G$15&lt;=750,W224,(IF($G$15&lt;=1000,W225,(IF($G$15&lt;=1500,W226,(IF($G$15&gt;1500,W227)))))))))))</f>
        <v>500</v>
      </c>
      <c r="T215" s="112">
        <f t="shared" si="16"/>
        <v>500</v>
      </c>
      <c r="AC215" s="2"/>
      <c r="AD215" s="2"/>
      <c r="AE215" s="2"/>
      <c r="AF215" s="2"/>
      <c r="AG215" s="2"/>
    </row>
    <row r="216" spans="16:33" ht="12" customHeight="1" x14ac:dyDescent="0.2">
      <c r="P216" s="105" t="s">
        <v>514</v>
      </c>
      <c r="Q216" s="22" t="s">
        <v>524</v>
      </c>
      <c r="R216" s="106">
        <v>1</v>
      </c>
      <c r="S216" s="169">
        <f>IF($G$15&lt;=450,X222,(IF($G$15&lt;=600,X223,(IF($G$15&lt;=750,X224,(IF($G$15&lt;=1000,X225,(IF($G$15&lt;=1500,X226,(IF($G$15&gt;1500,X227)))))))))))</f>
        <v>300</v>
      </c>
      <c r="T216" s="112">
        <f t="shared" ref="T216" si="17">R216*S216</f>
        <v>300</v>
      </c>
      <c r="AC216" s="2"/>
      <c r="AD216" s="2"/>
      <c r="AE216" s="2"/>
      <c r="AF216" s="2"/>
      <c r="AG216" s="2"/>
    </row>
    <row r="217" spans="16:33" ht="12" customHeight="1" x14ac:dyDescent="0.2">
      <c r="P217" s="101"/>
      <c r="Q217" s="22"/>
      <c r="R217" s="80"/>
      <c r="S217" s="80"/>
      <c r="T217" s="73"/>
      <c r="U217" s="2"/>
      <c r="V217" s="2"/>
      <c r="W217" s="2"/>
      <c r="X217" s="2"/>
      <c r="Y217" s="2"/>
      <c r="Z217" s="2"/>
      <c r="AA217" s="2"/>
      <c r="AB217" s="2"/>
      <c r="AC217" s="2"/>
      <c r="AD217" s="2"/>
      <c r="AE217" s="2"/>
      <c r="AF217" s="2"/>
      <c r="AG217" s="2"/>
    </row>
    <row r="218" spans="16:33" ht="12" customHeight="1" thickBot="1" x14ac:dyDescent="0.25">
      <c r="P218" s="113" t="s">
        <v>176</v>
      </c>
      <c r="Q218" s="114"/>
      <c r="R218" s="148"/>
      <c r="S218" s="148"/>
      <c r="T218" s="116">
        <f>SUM(T210:T216)</f>
        <v>9300</v>
      </c>
      <c r="U218" s="2"/>
      <c r="V218" s="2"/>
      <c r="W218" s="2"/>
      <c r="X218" s="2"/>
      <c r="Y218" s="2"/>
      <c r="Z218" s="2"/>
      <c r="AA218" s="2"/>
      <c r="AB218" s="2"/>
      <c r="AC218" s="2"/>
      <c r="AD218" s="2"/>
      <c r="AE218" s="2"/>
      <c r="AF218" s="2"/>
      <c r="AG218" s="2"/>
    </row>
    <row r="219" spans="16:33" ht="12" customHeight="1" thickTop="1" thickBot="1" x14ac:dyDescent="0.25">
      <c r="P219" s="2"/>
      <c r="Q219" s="2"/>
      <c r="R219" s="2"/>
      <c r="S219" s="2"/>
      <c r="T219" s="2"/>
      <c r="U219" s="2"/>
      <c r="V219" s="2"/>
      <c r="W219" s="2"/>
      <c r="X219" s="2"/>
      <c r="Y219" s="2"/>
      <c r="Z219" s="2"/>
      <c r="AA219" s="2"/>
      <c r="AB219" s="2"/>
      <c r="AC219" s="2"/>
      <c r="AD219" s="2"/>
      <c r="AE219" s="2"/>
      <c r="AF219" s="2"/>
      <c r="AG219" s="2"/>
    </row>
    <row r="220" spans="16:33" ht="12" customHeight="1" thickBot="1" x14ac:dyDescent="0.25">
      <c r="P220" s="2"/>
      <c r="Q220" s="945" t="s">
        <v>102</v>
      </c>
      <c r="R220" s="946"/>
      <c r="S220" s="946"/>
      <c r="T220" s="946"/>
      <c r="U220" s="946"/>
      <c r="V220" s="946"/>
      <c r="W220" s="946"/>
      <c r="X220" s="946"/>
      <c r="Y220" s="947"/>
      <c r="Z220" s="2"/>
      <c r="AA220" s="2"/>
      <c r="AB220" s="2"/>
      <c r="AC220" s="2"/>
      <c r="AD220" s="2"/>
      <c r="AE220" s="2"/>
      <c r="AF220" s="2"/>
      <c r="AG220" s="2"/>
    </row>
    <row r="221" spans="16:33" ht="12" customHeight="1" thickBot="1" x14ac:dyDescent="0.25">
      <c r="P221" s="2"/>
      <c r="Q221" s="201" t="s">
        <v>103</v>
      </c>
      <c r="R221" s="194" t="s">
        <v>177</v>
      </c>
      <c r="S221" s="194" t="s">
        <v>178</v>
      </c>
      <c r="T221" s="194" t="s">
        <v>515</v>
      </c>
      <c r="U221" s="194" t="s">
        <v>516</v>
      </c>
      <c r="V221" s="194" t="s">
        <v>517</v>
      </c>
      <c r="W221" s="194" t="s">
        <v>518</v>
      </c>
      <c r="X221" s="194" t="s">
        <v>525</v>
      </c>
      <c r="Y221" s="174" t="s">
        <v>179</v>
      </c>
      <c r="Z221" s="2"/>
      <c r="AA221" s="2"/>
      <c r="AB221" s="2"/>
      <c r="AC221" s="2"/>
      <c r="AD221" s="2"/>
      <c r="AE221" s="2"/>
      <c r="AF221" s="2"/>
      <c r="AG221" s="2"/>
    </row>
    <row r="222" spans="16:33" ht="12" customHeight="1" x14ac:dyDescent="0.2">
      <c r="P222" s="2"/>
      <c r="Q222" s="137" t="s">
        <v>458</v>
      </c>
      <c r="R222" s="203">
        <v>7000</v>
      </c>
      <c r="S222" s="204">
        <v>0</v>
      </c>
      <c r="T222" s="204">
        <v>150</v>
      </c>
      <c r="U222" s="204">
        <v>150</v>
      </c>
      <c r="V222" s="204">
        <v>1200</v>
      </c>
      <c r="W222" s="204">
        <v>500</v>
      </c>
      <c r="X222" s="204">
        <v>300</v>
      </c>
      <c r="Y222" s="139">
        <f>SUM(R222:X222)</f>
        <v>9300</v>
      </c>
      <c r="Z222" s="2"/>
      <c r="AA222" s="2"/>
      <c r="AB222" s="2"/>
      <c r="AC222" s="2"/>
      <c r="AD222" s="2"/>
      <c r="AE222" s="2"/>
      <c r="AF222" s="2"/>
      <c r="AG222" s="2"/>
    </row>
    <row r="223" spans="16:33" ht="12" customHeight="1" x14ac:dyDescent="0.2">
      <c r="P223" s="2"/>
      <c r="Q223" s="140" t="s">
        <v>459</v>
      </c>
      <c r="R223" s="141">
        <v>7500</v>
      </c>
      <c r="S223" s="197">
        <v>0</v>
      </c>
      <c r="T223" s="197">
        <v>150</v>
      </c>
      <c r="U223" s="197">
        <v>150</v>
      </c>
      <c r="V223" s="197">
        <v>1200</v>
      </c>
      <c r="W223" s="197">
        <v>500</v>
      </c>
      <c r="X223" s="197">
        <v>325</v>
      </c>
      <c r="Y223" s="139">
        <f t="shared" ref="Y223:Y227" si="18">SUM(R223:X223)</f>
        <v>9825</v>
      </c>
      <c r="Z223" s="2"/>
      <c r="AA223" s="2"/>
      <c r="AB223" s="2"/>
      <c r="AC223" s="2"/>
      <c r="AD223" s="2"/>
      <c r="AE223" s="2"/>
      <c r="AF223" s="2"/>
      <c r="AG223" s="2"/>
    </row>
    <row r="224" spans="16:33" ht="12" customHeight="1" x14ac:dyDescent="0.2">
      <c r="P224" s="2"/>
      <c r="Q224" s="140" t="s">
        <v>456</v>
      </c>
      <c r="R224" s="141">
        <v>8000</v>
      </c>
      <c r="S224" s="197">
        <v>0</v>
      </c>
      <c r="T224" s="197">
        <v>150</v>
      </c>
      <c r="U224" s="197">
        <v>150</v>
      </c>
      <c r="V224" s="197">
        <v>1300</v>
      </c>
      <c r="W224" s="197">
        <v>500</v>
      </c>
      <c r="X224" s="197">
        <v>500</v>
      </c>
      <c r="Y224" s="139">
        <f t="shared" si="18"/>
        <v>10600</v>
      </c>
      <c r="Z224" s="2"/>
      <c r="AA224" s="2"/>
      <c r="AB224" s="2"/>
      <c r="AC224" s="2"/>
      <c r="AD224" s="2"/>
      <c r="AE224" s="2"/>
      <c r="AF224" s="2"/>
      <c r="AG224" s="2"/>
    </row>
    <row r="225" spans="16:33" ht="12" customHeight="1" x14ac:dyDescent="0.2">
      <c r="P225" s="2"/>
      <c r="Q225" s="140" t="s">
        <v>457</v>
      </c>
      <c r="R225" s="141">
        <v>8500</v>
      </c>
      <c r="S225" s="197">
        <v>5000</v>
      </c>
      <c r="T225" s="197">
        <v>225</v>
      </c>
      <c r="U225" s="197">
        <v>150</v>
      </c>
      <c r="V225" s="197">
        <v>1400</v>
      </c>
      <c r="W225" s="197">
        <v>500</v>
      </c>
      <c r="X225" s="197">
        <v>800</v>
      </c>
      <c r="Y225" s="139">
        <f t="shared" si="18"/>
        <v>16575</v>
      </c>
      <c r="Z225" s="2"/>
      <c r="AA225" s="2"/>
      <c r="AB225" s="2"/>
      <c r="AC225" s="2"/>
      <c r="AD225" s="2"/>
      <c r="AE225" s="2"/>
      <c r="AF225" s="2"/>
      <c r="AG225" s="2"/>
    </row>
    <row r="226" spans="16:33" ht="12" customHeight="1" x14ac:dyDescent="0.2">
      <c r="P226" s="2"/>
      <c r="Q226" s="140" t="s">
        <v>108</v>
      </c>
      <c r="R226" s="141">
        <v>10000</v>
      </c>
      <c r="S226" s="197">
        <v>6500</v>
      </c>
      <c r="T226" s="197">
        <v>300</v>
      </c>
      <c r="U226" s="197">
        <v>150</v>
      </c>
      <c r="V226" s="197">
        <v>1600</v>
      </c>
      <c r="W226" s="197">
        <v>500</v>
      </c>
      <c r="X226" s="197">
        <v>1000</v>
      </c>
      <c r="Y226" s="139">
        <f t="shared" si="18"/>
        <v>20050</v>
      </c>
      <c r="Z226" s="2"/>
      <c r="AA226" s="2"/>
      <c r="AB226" s="2"/>
      <c r="AC226" s="2"/>
      <c r="AD226" s="2"/>
      <c r="AE226" s="2"/>
      <c r="AF226" s="2"/>
      <c r="AG226" s="2"/>
    </row>
    <row r="227" spans="16:33" ht="12" customHeight="1" thickBot="1" x14ac:dyDescent="0.25">
      <c r="P227" s="2"/>
      <c r="Q227" s="142" t="s">
        <v>109</v>
      </c>
      <c r="R227" s="143">
        <v>12000</v>
      </c>
      <c r="S227" s="199">
        <v>6500</v>
      </c>
      <c r="T227" s="199">
        <v>300</v>
      </c>
      <c r="U227" s="199">
        <v>150</v>
      </c>
      <c r="V227" s="199">
        <v>1800</v>
      </c>
      <c r="W227" s="199">
        <v>500</v>
      </c>
      <c r="X227" s="197">
        <v>1000</v>
      </c>
      <c r="Y227" s="139">
        <f t="shared" si="18"/>
        <v>22250</v>
      </c>
      <c r="Z227" s="2"/>
      <c r="AA227" s="2"/>
      <c r="AB227" s="2"/>
    </row>
    <row r="228" spans="16:33" ht="12" customHeight="1" thickBot="1" x14ac:dyDescent="0.25">
      <c r="P228" s="2"/>
      <c r="Q228" s="948" t="s">
        <v>110</v>
      </c>
      <c r="R228" s="949"/>
      <c r="S228" s="949"/>
      <c r="T228" s="949"/>
      <c r="U228" s="949"/>
      <c r="V228" s="949"/>
      <c r="W228" s="949"/>
      <c r="X228" s="949"/>
      <c r="Y228" s="950"/>
      <c r="Z228" s="2"/>
      <c r="AA228" s="2"/>
      <c r="AB228" s="2"/>
    </row>
    <row r="229" spans="16:33" ht="12" customHeight="1" x14ac:dyDescent="0.2">
      <c r="P229" s="2"/>
      <c r="Q229" s="2"/>
      <c r="R229" s="2"/>
      <c r="S229" s="2"/>
      <c r="T229" s="2"/>
      <c r="U229" s="2"/>
      <c r="V229" s="2"/>
      <c r="W229" s="2"/>
      <c r="X229" s="2"/>
      <c r="Y229" s="2"/>
      <c r="Z229" s="2"/>
      <c r="AA229" s="2"/>
      <c r="AB229" s="2"/>
    </row>
    <row r="230" spans="16:33" ht="12" customHeight="1" x14ac:dyDescent="0.2">
      <c r="P230" s="2"/>
      <c r="Q230" s="2"/>
      <c r="R230" s="2"/>
      <c r="S230" s="2"/>
      <c r="T230" s="2"/>
      <c r="U230" s="2"/>
      <c r="V230" s="2"/>
      <c r="W230" s="2"/>
      <c r="X230" s="2"/>
      <c r="Y230" s="2"/>
      <c r="Z230" s="2"/>
      <c r="AA230" s="2"/>
      <c r="AB230" s="2"/>
    </row>
    <row r="231" spans="16:33" ht="12" customHeight="1" thickBot="1" x14ac:dyDescent="0.25">
      <c r="W231" s="117"/>
      <c r="X231" s="117"/>
      <c r="Y231" s="117"/>
      <c r="Z231" s="117"/>
      <c r="AA231" s="2"/>
      <c r="AB231" s="2"/>
    </row>
    <row r="232" spans="16:33" ht="12" customHeight="1" x14ac:dyDescent="0.2">
      <c r="P232" s="970" t="s">
        <v>348</v>
      </c>
      <c r="Q232" s="951"/>
      <c r="R232" s="951"/>
      <c r="S232" s="951"/>
      <c r="T232" s="971"/>
      <c r="U232" s="117"/>
      <c r="V232" s="117"/>
      <c r="W232" s="117"/>
      <c r="X232" s="117"/>
      <c r="Y232" s="117"/>
      <c r="Z232" s="117"/>
      <c r="AA232" s="18"/>
      <c r="AB232" s="18"/>
    </row>
    <row r="233" spans="16:33" ht="12" customHeight="1" thickBot="1" x14ac:dyDescent="0.25">
      <c r="P233" s="972"/>
      <c r="Q233" s="891"/>
      <c r="R233" s="891"/>
      <c r="S233" s="891"/>
      <c r="T233" s="973"/>
      <c r="U233" s="117"/>
      <c r="V233" s="117"/>
      <c r="W233" s="117"/>
      <c r="X233" s="117"/>
      <c r="Y233" s="117"/>
      <c r="Z233" s="117"/>
      <c r="AA233" s="18"/>
      <c r="AB233" s="18"/>
    </row>
    <row r="234" spans="16:33" ht="12" customHeight="1" x14ac:dyDescent="0.2">
      <c r="P234" s="95"/>
      <c r="Q234" s="96"/>
      <c r="R234" s="473" t="s">
        <v>33</v>
      </c>
      <c r="S234" s="474"/>
      <c r="T234" s="475"/>
      <c r="U234" s="117"/>
      <c r="V234" s="117"/>
      <c r="W234" s="117"/>
      <c r="X234" s="117"/>
      <c r="Y234" s="117"/>
      <c r="Z234" s="117"/>
      <c r="AA234" s="18"/>
      <c r="AB234" s="18"/>
    </row>
    <row r="235" spans="16:33" ht="12" customHeight="1" thickBot="1" x14ac:dyDescent="0.25">
      <c r="P235" s="98" t="s">
        <v>121</v>
      </c>
      <c r="Q235" s="99"/>
      <c r="R235" s="100" t="s">
        <v>122</v>
      </c>
      <c r="S235" s="100" t="s">
        <v>38</v>
      </c>
      <c r="T235" s="99" t="s">
        <v>123</v>
      </c>
      <c r="U235" s="117"/>
      <c r="V235" s="117"/>
      <c r="W235" s="117"/>
      <c r="X235" s="117"/>
      <c r="Y235" s="117"/>
      <c r="Z235" s="117"/>
      <c r="AA235" s="18"/>
    </row>
    <row r="236" spans="16:33" ht="12" customHeight="1" x14ac:dyDescent="0.2">
      <c r="P236" s="101" t="s">
        <v>526</v>
      </c>
      <c r="Q236" s="22" t="s">
        <v>350</v>
      </c>
      <c r="R236" s="106">
        <v>1</v>
      </c>
      <c r="S236" s="167">
        <f>IF($G$15&lt;=450,R261,(IF($G$15&lt;=600,R262,(IF($G$15&lt;=750,R263,(IF($G$15&lt;=1000,R264,(IF($G$15&lt;=1500,R265,(IF($G$15&gt;1500,R266)))))))))))</f>
        <v>3000</v>
      </c>
      <c r="T236" s="104">
        <f>R236*S236</f>
        <v>3000</v>
      </c>
      <c r="U236" s="60" t="s">
        <v>41</v>
      </c>
      <c r="V236" s="117"/>
      <c r="W236" s="117"/>
      <c r="X236" s="117"/>
      <c r="Y236" s="117"/>
      <c r="Z236" s="117"/>
      <c r="AA236" s="18"/>
    </row>
    <row r="237" spans="16:33" ht="12" customHeight="1" x14ac:dyDescent="0.2">
      <c r="P237" s="101" t="s">
        <v>527</v>
      </c>
      <c r="Q237" s="22" t="s">
        <v>352</v>
      </c>
      <c r="R237" s="106">
        <v>1</v>
      </c>
      <c r="S237" s="167">
        <f>IF($G$15&lt;=450,S261,(IF($G$15&lt;=600,S262,(IF($G$15&lt;=750,S263,(IF($G$15&lt;=1000,S264,(IF($G$15&lt;=1500,S265,(IF($G$15&gt;1500,S266)))))))))))</f>
        <v>900</v>
      </c>
      <c r="T237" s="104">
        <f>R237*S237</f>
        <v>900</v>
      </c>
      <c r="U237" s="18"/>
      <c r="V237" s="117"/>
      <c r="W237" s="117"/>
      <c r="X237" s="117"/>
      <c r="Y237" s="117"/>
      <c r="Z237" s="117"/>
      <c r="AA237" s="18"/>
    </row>
    <row r="238" spans="16:33" ht="12" customHeight="1" x14ac:dyDescent="0.2">
      <c r="P238" s="101" t="s">
        <v>528</v>
      </c>
      <c r="Q238" s="22" t="s">
        <v>354</v>
      </c>
      <c r="R238" s="106">
        <v>1</v>
      </c>
      <c r="S238" s="167">
        <f>IF($G$15&lt;=450,T261,(IF($G$15&lt;=600,T262,(IF($G$15&lt;=750,T263,(IF($G$15&lt;=1000,T264,(IF($G$15&lt;=1500,T265,(IF($G$15&gt;1500,T266)))))))))))</f>
        <v>0</v>
      </c>
      <c r="T238" s="104">
        <f>R238*S238</f>
        <v>0</v>
      </c>
      <c r="U238" s="60" t="s">
        <v>36</v>
      </c>
      <c r="V238" s="117"/>
      <c r="W238" s="117"/>
      <c r="X238" s="117"/>
      <c r="Y238" s="117"/>
      <c r="Z238" s="117"/>
      <c r="AA238" s="18"/>
    </row>
    <row r="239" spans="16:33" ht="12" customHeight="1" x14ac:dyDescent="0.2">
      <c r="P239" s="101" t="s">
        <v>529</v>
      </c>
      <c r="Q239" s="22" t="s">
        <v>356</v>
      </c>
      <c r="R239" s="106">
        <v>1</v>
      </c>
      <c r="S239" s="167">
        <f>IF($G$15&lt;=450,U261,(IF($G$15&lt;=600,U262,(IF($G$15&lt;=750,U263,(IF($G$15&lt;=1000,U264,(IF($G$15&lt;=1500,U265,(IF($G$15&gt;1500,U266)))))))))))</f>
        <v>250</v>
      </c>
      <c r="T239" s="104">
        <f>R239*S239</f>
        <v>250</v>
      </c>
      <c r="U239" s="60" t="s">
        <v>39</v>
      </c>
      <c r="V239" s="117"/>
      <c r="W239" s="117"/>
      <c r="X239" s="117"/>
      <c r="Y239" s="117"/>
      <c r="Z239" s="117"/>
      <c r="AA239" s="18"/>
      <c r="AB239" s="18"/>
    </row>
    <row r="240" spans="16:33" ht="12" customHeight="1" x14ac:dyDescent="0.2">
      <c r="P240" s="105" t="s">
        <v>530</v>
      </c>
      <c r="Q240" s="22" t="s">
        <v>358</v>
      </c>
      <c r="R240" s="106">
        <v>1</v>
      </c>
      <c r="S240" s="169">
        <f>IF($G$15&lt;=450,V261,(IF($G$15&lt;=600,V262,(IF($G$15&lt;=750,V263,(IF($G$15&lt;=1000,V264,(IF($G$15&lt;=1500,V265,(IF($G$15&gt;1500,V266)))))))))))</f>
        <v>0</v>
      </c>
      <c r="T240" s="112">
        <f>R240*S240</f>
        <v>0</v>
      </c>
      <c r="U240" s="117"/>
      <c r="V240" s="117"/>
      <c r="W240" s="117"/>
      <c r="X240" s="117"/>
      <c r="Y240" s="117"/>
      <c r="Z240" s="117"/>
      <c r="AA240" s="18"/>
      <c r="AB240" s="18"/>
    </row>
    <row r="241" spans="16:28" ht="12" customHeight="1" x14ac:dyDescent="0.2">
      <c r="P241" s="101"/>
      <c r="Q241" s="22"/>
      <c r="R241" s="80"/>
      <c r="S241" s="80"/>
      <c r="T241" s="73"/>
      <c r="U241" s="117"/>
      <c r="V241" s="117"/>
      <c r="W241" s="117"/>
      <c r="X241" s="117"/>
      <c r="Y241" s="117"/>
      <c r="Z241" s="117"/>
      <c r="AA241" s="18"/>
      <c r="AB241" s="18"/>
    </row>
    <row r="242" spans="16:28" ht="12" customHeight="1" thickBot="1" x14ac:dyDescent="0.25">
      <c r="P242" s="113" t="s">
        <v>359</v>
      </c>
      <c r="Q242" s="114"/>
      <c r="R242" s="148"/>
      <c r="S242" s="148"/>
      <c r="T242" s="116">
        <f>SUM(T236:T240)</f>
        <v>4150</v>
      </c>
      <c r="U242" s="117"/>
      <c r="V242" s="117"/>
      <c r="W242" s="76"/>
      <c r="X242" s="76"/>
      <c r="Y242" s="76"/>
      <c r="Z242" s="76"/>
      <c r="AA242" s="18"/>
      <c r="AB242" s="18"/>
    </row>
    <row r="243" spans="16:28" ht="12" customHeight="1" thickTop="1" thickBot="1" x14ac:dyDescent="0.25">
      <c r="P243" s="51"/>
      <c r="Q243" s="51"/>
      <c r="R243" s="76"/>
      <c r="S243" s="76"/>
      <c r="T243" s="76"/>
      <c r="U243" s="76"/>
      <c r="V243" s="76"/>
      <c r="W243" s="122"/>
      <c r="X243" s="122"/>
      <c r="Y243" s="122"/>
      <c r="Z243" s="122"/>
      <c r="AA243" s="18"/>
      <c r="AB243" s="18"/>
    </row>
    <row r="244" spans="16:28" ht="12" customHeight="1" thickBot="1" x14ac:dyDescent="0.25">
      <c r="P244" s="945" t="s">
        <v>360</v>
      </c>
      <c r="Q244" s="946"/>
      <c r="R244" s="946"/>
      <c r="S244" s="946"/>
      <c r="T244" s="946"/>
      <c r="U244" s="946"/>
      <c r="V244" s="947"/>
      <c r="W244" s="122"/>
      <c r="X244" s="122"/>
      <c r="Y244" s="122"/>
      <c r="Z244" s="122"/>
      <c r="AA244" s="18"/>
      <c r="AB244" s="18"/>
    </row>
    <row r="245" spans="16:28" ht="12" customHeight="1" thickBot="1" x14ac:dyDescent="0.25">
      <c r="P245" s="149" t="s">
        <v>23</v>
      </c>
      <c r="Q245" s="150" t="s">
        <v>24</v>
      </c>
      <c r="R245" s="151"/>
      <c r="S245" s="151"/>
      <c r="T245" s="151"/>
      <c r="U245" s="151"/>
      <c r="V245" s="152"/>
      <c r="W245" s="122"/>
      <c r="X245" s="122"/>
      <c r="Y245" s="122"/>
      <c r="Z245" s="122"/>
      <c r="AA245" s="18"/>
      <c r="AB245" s="18"/>
    </row>
    <row r="246" spans="16:28" ht="12" customHeight="1" x14ac:dyDescent="0.2">
      <c r="P246" s="68">
        <v>1</v>
      </c>
      <c r="Q246" s="153" t="s">
        <v>361</v>
      </c>
      <c r="R246" s="154"/>
      <c r="S246" s="154"/>
      <c r="T246" s="154"/>
      <c r="U246" s="154"/>
      <c r="V246" s="155"/>
      <c r="W246" s="122"/>
      <c r="X246" s="122"/>
      <c r="Y246" s="122"/>
      <c r="Z246" s="122"/>
      <c r="AA246" s="18"/>
      <c r="AB246" s="18"/>
    </row>
    <row r="247" spans="16:28" ht="12" customHeight="1" thickBot="1" x14ac:dyDescent="0.25">
      <c r="P247" s="71"/>
      <c r="Q247" s="164" t="s">
        <v>362</v>
      </c>
      <c r="R247" s="170"/>
      <c r="S247" s="170"/>
      <c r="T247" s="170"/>
      <c r="U247" s="170"/>
      <c r="V247" s="171"/>
      <c r="W247" s="122"/>
      <c r="X247" s="122"/>
      <c r="Y247" s="122"/>
      <c r="Z247" s="122"/>
      <c r="AA247" s="18"/>
      <c r="AB247" s="18"/>
    </row>
    <row r="248" spans="16:28" ht="12" customHeight="1" thickBot="1" x14ac:dyDescent="0.25">
      <c r="P248" s="70"/>
      <c r="Q248" s="156"/>
      <c r="R248" s="157"/>
      <c r="S248" s="157"/>
      <c r="T248" s="157"/>
      <c r="U248" s="157"/>
      <c r="V248" s="157"/>
      <c r="W248" s="122"/>
      <c r="X248" s="122"/>
      <c r="Y248" s="122"/>
      <c r="Z248" s="122"/>
      <c r="AA248" s="18"/>
      <c r="AB248" s="18"/>
    </row>
    <row r="249" spans="16:28" ht="12" customHeight="1" thickBot="1" x14ac:dyDescent="0.25">
      <c r="P249" s="18"/>
      <c r="Q249" s="467" t="s">
        <v>102</v>
      </c>
      <c r="R249" s="468"/>
      <c r="S249" s="469"/>
      <c r="T249" s="122"/>
      <c r="U249" s="122"/>
      <c r="V249" s="122"/>
      <c r="W249" s="117"/>
      <c r="X249" s="117"/>
      <c r="Y249" s="117"/>
      <c r="Z249" s="117"/>
      <c r="AA249" s="117"/>
      <c r="AB249" s="117"/>
    </row>
    <row r="250" spans="16:28" ht="12" customHeight="1" thickBot="1" x14ac:dyDescent="0.25">
      <c r="P250" s="117"/>
      <c r="Q250" s="173" t="s">
        <v>103</v>
      </c>
      <c r="R250" s="205">
        <v>2</v>
      </c>
      <c r="S250" s="174">
        <v>3</v>
      </c>
      <c r="T250" s="117"/>
      <c r="U250" s="117"/>
      <c r="V250" s="117"/>
      <c r="W250" s="117"/>
      <c r="X250" s="117"/>
      <c r="Y250" s="117"/>
      <c r="Z250" s="117"/>
      <c r="AA250" s="117"/>
      <c r="AB250" s="117"/>
    </row>
    <row r="251" spans="16:28" ht="12" customHeight="1" x14ac:dyDescent="0.2">
      <c r="P251" s="117"/>
      <c r="Q251" s="137" t="s">
        <v>458</v>
      </c>
      <c r="R251" s="206">
        <v>200</v>
      </c>
      <c r="S251" s="207">
        <v>250</v>
      </c>
      <c r="T251" s="117"/>
      <c r="U251" s="117"/>
      <c r="V251" s="117"/>
      <c r="W251" s="117"/>
      <c r="X251" s="117"/>
      <c r="Y251" s="117"/>
      <c r="Z251" s="117"/>
      <c r="AA251" s="117"/>
      <c r="AB251" s="117"/>
    </row>
    <row r="252" spans="16:28" ht="12" customHeight="1" x14ac:dyDescent="0.2">
      <c r="P252" s="117"/>
      <c r="Q252" s="140" t="s">
        <v>459</v>
      </c>
      <c r="R252" s="208">
        <v>250</v>
      </c>
      <c r="S252" s="180">
        <v>250</v>
      </c>
      <c r="T252" s="117"/>
      <c r="U252" s="117"/>
      <c r="V252" s="117"/>
      <c r="W252" s="117"/>
      <c r="X252" s="117"/>
      <c r="Y252" s="117"/>
      <c r="Z252" s="117"/>
      <c r="AA252" s="117"/>
      <c r="AB252" s="117"/>
    </row>
    <row r="253" spans="16:28" ht="12" customHeight="1" x14ac:dyDescent="0.2">
      <c r="P253" s="117"/>
      <c r="Q253" s="140" t="s">
        <v>456</v>
      </c>
      <c r="R253" s="208">
        <v>300</v>
      </c>
      <c r="S253" s="180">
        <v>300</v>
      </c>
      <c r="T253" s="117"/>
      <c r="U253" s="117"/>
      <c r="V253" s="117"/>
      <c r="W253" s="117"/>
      <c r="X253" s="117"/>
      <c r="Y253" s="117"/>
      <c r="Z253" s="117"/>
      <c r="AA253" s="117"/>
      <c r="AB253" s="117"/>
    </row>
    <row r="254" spans="16:28" ht="12" customHeight="1" x14ac:dyDescent="0.2">
      <c r="P254" s="117"/>
      <c r="Q254" s="140" t="s">
        <v>457</v>
      </c>
      <c r="R254" s="208">
        <v>300</v>
      </c>
      <c r="S254" s="180">
        <v>400</v>
      </c>
      <c r="T254" s="117"/>
      <c r="U254" s="117"/>
      <c r="V254" s="117"/>
      <c r="W254" s="122"/>
      <c r="X254" s="122"/>
      <c r="Y254" s="122"/>
      <c r="Z254" s="122"/>
      <c r="AA254" s="117"/>
      <c r="AB254" s="117"/>
    </row>
    <row r="255" spans="16:28" ht="12" customHeight="1" x14ac:dyDescent="0.2">
      <c r="P255" s="117"/>
      <c r="Q255" s="140" t="s">
        <v>108</v>
      </c>
      <c r="R255" s="208">
        <v>300</v>
      </c>
      <c r="S255" s="180">
        <v>300</v>
      </c>
      <c r="T255" s="122"/>
      <c r="U255" s="122"/>
      <c r="V255" s="122"/>
      <c r="W255" s="122"/>
      <c r="X255" s="122"/>
      <c r="Y255" s="122"/>
      <c r="Z255" s="122"/>
      <c r="AA255" s="117"/>
      <c r="AB255" s="117"/>
    </row>
    <row r="256" spans="16:28" ht="12" customHeight="1" thickBot="1" x14ac:dyDescent="0.25">
      <c r="P256" s="117"/>
      <c r="Q256" s="142" t="s">
        <v>109</v>
      </c>
      <c r="R256" s="209">
        <v>400</v>
      </c>
      <c r="S256" s="181">
        <v>300</v>
      </c>
      <c r="T256" s="122"/>
      <c r="U256" s="122"/>
      <c r="V256" s="122"/>
      <c r="W256" s="122"/>
      <c r="X256" s="122"/>
      <c r="Y256" s="122"/>
      <c r="Z256" s="122"/>
      <c r="AA256" s="117"/>
      <c r="AB256" s="117"/>
    </row>
    <row r="257" spans="16:33" ht="12" customHeight="1" thickBot="1" x14ac:dyDescent="0.25">
      <c r="P257" s="117"/>
      <c r="Q257" s="470" t="s">
        <v>110</v>
      </c>
      <c r="R257" s="471"/>
      <c r="S257" s="472"/>
      <c r="T257" s="122"/>
      <c r="U257" s="122"/>
      <c r="V257" s="122"/>
      <c r="W257" s="18"/>
      <c r="X257" s="18"/>
      <c r="Y257" s="18"/>
      <c r="Z257" s="18"/>
      <c r="AA257" s="117"/>
      <c r="AB257" s="117"/>
    </row>
    <row r="258" spans="16:33" ht="12" customHeight="1" thickBot="1" x14ac:dyDescent="0.25"/>
    <row r="259" spans="16:33" ht="12" customHeight="1" thickBot="1" x14ac:dyDescent="0.25">
      <c r="Q259" s="945" t="s">
        <v>102</v>
      </c>
      <c r="R259" s="946"/>
      <c r="S259" s="946"/>
      <c r="T259" s="946"/>
      <c r="U259" s="946"/>
      <c r="V259" s="946"/>
      <c r="W259" s="947"/>
    </row>
    <row r="260" spans="16:33" ht="12" customHeight="1" thickBot="1" x14ac:dyDescent="0.25">
      <c r="Q260" s="201" t="s">
        <v>103</v>
      </c>
      <c r="R260" s="194" t="s">
        <v>363</v>
      </c>
      <c r="S260" s="194" t="s">
        <v>364</v>
      </c>
      <c r="T260" s="194" t="s">
        <v>365</v>
      </c>
      <c r="U260" s="194" t="s">
        <v>366</v>
      </c>
      <c r="V260" s="194" t="s">
        <v>367</v>
      </c>
      <c r="W260" s="174" t="s">
        <v>179</v>
      </c>
    </row>
    <row r="261" spans="16:33" ht="12" customHeight="1" x14ac:dyDescent="0.2">
      <c r="Q261" s="137" t="s">
        <v>458</v>
      </c>
      <c r="R261" s="203">
        <v>3000</v>
      </c>
      <c r="S261" s="204">
        <v>900</v>
      </c>
      <c r="T261" s="204">
        <v>0</v>
      </c>
      <c r="U261" s="204">
        <v>250</v>
      </c>
      <c r="V261" s="204">
        <v>0</v>
      </c>
      <c r="W261" s="139">
        <f>SUM(R261:V261)</f>
        <v>4150</v>
      </c>
    </row>
    <row r="262" spans="16:33" ht="12" customHeight="1" x14ac:dyDescent="0.2">
      <c r="Q262" s="140" t="s">
        <v>459</v>
      </c>
      <c r="R262" s="141">
        <v>3000</v>
      </c>
      <c r="S262" s="197">
        <v>1050</v>
      </c>
      <c r="T262" s="197">
        <v>0</v>
      </c>
      <c r="U262" s="197">
        <v>250</v>
      </c>
      <c r="V262" s="197">
        <v>0</v>
      </c>
      <c r="W262" s="139">
        <f t="shared" ref="W262:W266" si="19">SUM(R262:V262)</f>
        <v>4300</v>
      </c>
    </row>
    <row r="263" spans="16:33" ht="12" customHeight="1" x14ac:dyDescent="0.2">
      <c r="Q263" s="140" t="s">
        <v>456</v>
      </c>
      <c r="R263" s="141">
        <v>3750</v>
      </c>
      <c r="S263" s="197">
        <v>1382</v>
      </c>
      <c r="T263" s="197">
        <v>300</v>
      </c>
      <c r="U263" s="197">
        <v>300</v>
      </c>
      <c r="V263" s="197">
        <v>80</v>
      </c>
      <c r="W263" s="139">
        <f t="shared" si="19"/>
        <v>5812</v>
      </c>
    </row>
    <row r="264" spans="16:33" ht="12" customHeight="1" x14ac:dyDescent="0.2">
      <c r="Q264" s="140" t="s">
        <v>457</v>
      </c>
      <c r="R264" s="141">
        <v>5000</v>
      </c>
      <c r="S264" s="197">
        <v>1400</v>
      </c>
      <c r="T264" s="197">
        <v>300</v>
      </c>
      <c r="U264" s="197">
        <v>400</v>
      </c>
      <c r="V264" s="197">
        <v>80</v>
      </c>
      <c r="W264" s="139">
        <f t="shared" si="19"/>
        <v>7180</v>
      </c>
    </row>
    <row r="265" spans="16:33" ht="12" customHeight="1" x14ac:dyDescent="0.2">
      <c r="Q265" s="140" t="s">
        <v>108</v>
      </c>
      <c r="R265" s="141">
        <v>7500</v>
      </c>
      <c r="S265" s="197">
        <v>1500</v>
      </c>
      <c r="T265" s="197">
        <v>300</v>
      </c>
      <c r="U265" s="197">
        <v>600</v>
      </c>
      <c r="V265" s="197">
        <v>80</v>
      </c>
      <c r="W265" s="139">
        <f t="shared" si="19"/>
        <v>9980</v>
      </c>
    </row>
    <row r="266" spans="16:33" ht="12" customHeight="1" thickBot="1" x14ac:dyDescent="0.25">
      <c r="Q266" s="142" t="s">
        <v>109</v>
      </c>
      <c r="R266" s="143">
        <v>10000</v>
      </c>
      <c r="S266" s="199">
        <v>1750</v>
      </c>
      <c r="T266" s="199">
        <v>400</v>
      </c>
      <c r="U266" s="199">
        <v>600</v>
      </c>
      <c r="V266" s="199">
        <v>80</v>
      </c>
      <c r="W266" s="144">
        <f t="shared" si="19"/>
        <v>12830</v>
      </c>
      <c r="AC266" s="2"/>
      <c r="AD266" s="2"/>
      <c r="AE266" s="2"/>
      <c r="AF266" s="2"/>
      <c r="AG266" s="2"/>
    </row>
    <row r="267" spans="16:33" ht="12" customHeight="1" thickBot="1" x14ac:dyDescent="0.25">
      <c r="Q267" s="948" t="s">
        <v>110</v>
      </c>
      <c r="R267" s="949"/>
      <c r="S267" s="949"/>
      <c r="T267" s="949"/>
      <c r="U267" s="949"/>
      <c r="V267" s="949"/>
      <c r="W267" s="950"/>
      <c r="AC267" s="2"/>
      <c r="AD267" s="2"/>
      <c r="AE267" s="2"/>
      <c r="AF267" s="2"/>
      <c r="AG267" s="2"/>
    </row>
    <row r="268" spans="16:33" ht="12" customHeight="1" x14ac:dyDescent="0.2">
      <c r="AC268" s="2"/>
      <c r="AD268" s="2"/>
      <c r="AE268" s="2"/>
      <c r="AF268" s="2"/>
      <c r="AG268" s="2"/>
    </row>
    <row r="269" spans="16:33" ht="12" customHeight="1" x14ac:dyDescent="0.2">
      <c r="AC269" s="2"/>
      <c r="AD269" s="2"/>
      <c r="AE269" s="2"/>
      <c r="AF269" s="2"/>
      <c r="AG269" s="2"/>
    </row>
    <row r="270" spans="16:33" ht="12" customHeight="1" thickBot="1" x14ac:dyDescent="0.25">
      <c r="AC270" s="2"/>
      <c r="AD270" s="2"/>
      <c r="AE270" s="2"/>
      <c r="AF270" s="2"/>
      <c r="AG270" s="2"/>
    </row>
    <row r="271" spans="16:33" ht="12" customHeight="1" x14ac:dyDescent="0.2">
      <c r="P271" s="970" t="s">
        <v>182</v>
      </c>
      <c r="Q271" s="951"/>
      <c r="R271" s="951"/>
      <c r="S271" s="951"/>
      <c r="T271" s="971"/>
      <c r="U271" s="2"/>
      <c r="V271" s="2"/>
      <c r="W271" s="2"/>
      <c r="X271" s="2"/>
      <c r="Y271" s="2"/>
      <c r="Z271" s="2"/>
      <c r="AA271" s="117"/>
      <c r="AB271" s="2"/>
      <c r="AC271" s="2"/>
      <c r="AD271" s="2"/>
      <c r="AE271" s="2"/>
      <c r="AF271" s="2"/>
      <c r="AG271" s="2"/>
    </row>
    <row r="272" spans="16:33" ht="12" customHeight="1" thickBot="1" x14ac:dyDescent="0.25">
      <c r="P272" s="972"/>
      <c r="Q272" s="891"/>
      <c r="R272" s="891"/>
      <c r="S272" s="891"/>
      <c r="T272" s="973"/>
      <c r="U272" s="2"/>
      <c r="V272" s="2"/>
      <c r="W272" s="2"/>
      <c r="X272" s="2"/>
      <c r="Y272" s="2"/>
      <c r="Z272" s="2"/>
      <c r="AA272" s="117"/>
      <c r="AB272" s="2"/>
      <c r="AC272" s="2"/>
      <c r="AD272" s="2"/>
      <c r="AE272" s="2"/>
      <c r="AF272" s="2"/>
      <c r="AG272" s="2"/>
    </row>
    <row r="273" spans="16:33" ht="12" customHeight="1" x14ac:dyDescent="0.2">
      <c r="P273" s="95"/>
      <c r="Q273" s="96"/>
      <c r="R273" s="473" t="s">
        <v>33</v>
      </c>
      <c r="S273" s="474"/>
      <c r="T273" s="475"/>
      <c r="U273" s="2"/>
      <c r="V273" s="2"/>
      <c r="W273" s="2"/>
      <c r="X273" s="2"/>
      <c r="Y273" s="2"/>
      <c r="Z273" s="2"/>
      <c r="AA273" s="117"/>
      <c r="AB273" s="2"/>
      <c r="AC273" s="2"/>
      <c r="AD273" s="2"/>
      <c r="AE273" s="2"/>
      <c r="AF273" s="2"/>
      <c r="AG273" s="2"/>
    </row>
    <row r="274" spans="16:33" ht="12" customHeight="1" thickBot="1" x14ac:dyDescent="0.25">
      <c r="P274" s="98" t="s">
        <v>121</v>
      </c>
      <c r="Q274" s="99"/>
      <c r="R274" s="100" t="s">
        <v>122</v>
      </c>
      <c r="S274" s="100" t="s">
        <v>38</v>
      </c>
      <c r="T274" s="99" t="s">
        <v>123</v>
      </c>
      <c r="U274" s="2"/>
      <c r="V274" s="2"/>
      <c r="W274" s="2"/>
      <c r="X274" s="2"/>
      <c r="Y274" s="2"/>
      <c r="Z274" s="2"/>
      <c r="AA274" s="2"/>
      <c r="AB274" s="2"/>
      <c r="AC274" s="2"/>
      <c r="AD274" s="2"/>
      <c r="AE274" s="2"/>
      <c r="AF274" s="2"/>
      <c r="AG274" s="2"/>
    </row>
    <row r="275" spans="16:33" ht="12" customHeight="1" x14ac:dyDescent="0.2">
      <c r="P275" s="210" t="s">
        <v>531</v>
      </c>
      <c r="Q275" s="22" t="s">
        <v>96</v>
      </c>
      <c r="R275" s="211">
        <v>0</v>
      </c>
      <c r="S275" s="212" t="e">
        <v>#REF!</v>
      </c>
      <c r="T275" s="213" t="e">
        <f>R275*S275</f>
        <v>#REF!</v>
      </c>
      <c r="U275" s="214" t="s">
        <v>41</v>
      </c>
      <c r="V275" s="2"/>
      <c r="W275" s="2"/>
      <c r="X275" s="2"/>
      <c r="Y275" s="2"/>
      <c r="Z275" s="2"/>
      <c r="AA275" s="2"/>
      <c r="AB275" s="2"/>
      <c r="AC275" s="2"/>
      <c r="AD275" s="2"/>
      <c r="AE275" s="2"/>
      <c r="AF275" s="2"/>
      <c r="AG275" s="2"/>
    </row>
    <row r="276" spans="16:33" ht="12" customHeight="1" x14ac:dyDescent="0.2">
      <c r="P276" s="215" t="s">
        <v>532</v>
      </c>
      <c r="Q276" s="22" t="s">
        <v>185</v>
      </c>
      <c r="R276" s="187">
        <v>1</v>
      </c>
      <c r="S276" s="80"/>
      <c r="T276" s="73">
        <f>(S277+S278+S279+S280+S281)*R276</f>
        <v>1575</v>
      </c>
      <c r="U276" s="214" t="s">
        <v>186</v>
      </c>
      <c r="V276" s="2"/>
      <c r="W276" s="2"/>
      <c r="X276" s="2"/>
      <c r="Y276" s="2"/>
      <c r="Z276" s="2"/>
      <c r="AA276" s="2"/>
      <c r="AB276" s="2"/>
      <c r="AC276" s="2"/>
      <c r="AD276" s="2"/>
      <c r="AE276" s="2"/>
      <c r="AF276" s="2"/>
      <c r="AG276" s="2"/>
    </row>
    <row r="277" spans="16:33" ht="12" customHeight="1" x14ac:dyDescent="0.2">
      <c r="P277" s="215" t="s">
        <v>533</v>
      </c>
      <c r="Q277" s="22" t="s">
        <v>188</v>
      </c>
      <c r="R277" s="216"/>
      <c r="S277" s="80">
        <f>0.36*(3.5*$G$15)</f>
        <v>567</v>
      </c>
      <c r="T277" s="73"/>
      <c r="U277" s="168" t="s">
        <v>189</v>
      </c>
      <c r="V277" s="2"/>
      <c r="W277" s="2"/>
      <c r="X277" s="2"/>
      <c r="Y277" s="2"/>
      <c r="Z277" s="2"/>
      <c r="AA277" s="2"/>
      <c r="AB277" s="2"/>
      <c r="AC277" s="2"/>
      <c r="AD277" s="2"/>
      <c r="AE277" s="2"/>
      <c r="AF277" s="2"/>
      <c r="AG277" s="2"/>
    </row>
    <row r="278" spans="16:33" ht="12" customHeight="1" x14ac:dyDescent="0.2">
      <c r="P278" s="215" t="s">
        <v>534</v>
      </c>
      <c r="Q278" s="22" t="s">
        <v>191</v>
      </c>
      <c r="R278" s="217"/>
      <c r="S278" s="80">
        <f>0.34*(3.5*$G$15)</f>
        <v>535.5</v>
      </c>
      <c r="T278" s="73"/>
      <c r="U278" s="168" t="s">
        <v>189</v>
      </c>
      <c r="V278" s="2"/>
      <c r="W278" s="2"/>
      <c r="X278" s="2"/>
      <c r="Y278" s="2"/>
      <c r="Z278" s="2"/>
      <c r="AA278" s="2"/>
      <c r="AB278" s="2"/>
      <c r="AC278" s="2"/>
      <c r="AD278" s="2"/>
      <c r="AE278" s="2"/>
      <c r="AF278" s="2"/>
      <c r="AG278" s="2"/>
    </row>
    <row r="279" spans="16:33" ht="12" customHeight="1" x14ac:dyDescent="0.2">
      <c r="P279" s="215" t="s">
        <v>535</v>
      </c>
      <c r="Q279" s="22" t="s">
        <v>193</v>
      </c>
      <c r="R279" s="217"/>
      <c r="S279" s="80">
        <f>0.11*(3.5*$G$15)</f>
        <v>173.25</v>
      </c>
      <c r="T279" s="73"/>
      <c r="U279" s="168" t="s">
        <v>189</v>
      </c>
      <c r="V279" s="2"/>
      <c r="W279" s="2"/>
      <c r="X279" s="2"/>
      <c r="Y279" s="2"/>
      <c r="Z279" s="2"/>
      <c r="AA279" s="2"/>
      <c r="AB279" s="2"/>
      <c r="AC279" s="2"/>
      <c r="AD279" s="2"/>
      <c r="AE279" s="2"/>
      <c r="AF279" s="2"/>
      <c r="AG279" s="2"/>
    </row>
    <row r="280" spans="16:33" ht="12" customHeight="1" x14ac:dyDescent="0.2">
      <c r="P280" s="215" t="s">
        <v>536</v>
      </c>
      <c r="Q280" s="22" t="s">
        <v>195</v>
      </c>
      <c r="R280" s="217"/>
      <c r="S280" s="80">
        <f>0.1*(3.5*$G$15)</f>
        <v>157.5</v>
      </c>
      <c r="T280" s="73"/>
      <c r="U280" s="168" t="s">
        <v>189</v>
      </c>
      <c r="V280" s="2"/>
      <c r="W280" s="2"/>
      <c r="X280" s="2"/>
      <c r="Y280" s="2"/>
      <c r="Z280" s="2"/>
      <c r="AA280" s="2"/>
      <c r="AB280" s="2"/>
      <c r="AC280" s="2"/>
      <c r="AD280" s="2"/>
      <c r="AE280" s="2"/>
      <c r="AF280" s="2"/>
      <c r="AG280" s="2"/>
    </row>
    <row r="281" spans="16:33" ht="12" customHeight="1" x14ac:dyDescent="0.2">
      <c r="P281" s="215" t="s">
        <v>537</v>
      </c>
      <c r="Q281" s="22" t="s">
        <v>197</v>
      </c>
      <c r="R281" s="217"/>
      <c r="S281" s="80">
        <f>0.09*(3.5*$G$15)</f>
        <v>141.75</v>
      </c>
      <c r="T281" s="73"/>
      <c r="U281" s="168" t="s">
        <v>189</v>
      </c>
      <c r="V281" s="2"/>
      <c r="W281" s="2"/>
      <c r="X281" s="2"/>
      <c r="Y281" s="2"/>
      <c r="Z281" s="2"/>
      <c r="AA281" s="218"/>
      <c r="AB281" s="2"/>
      <c r="AC281" s="2"/>
      <c r="AD281" s="2"/>
      <c r="AE281" s="2"/>
      <c r="AF281" s="2"/>
      <c r="AG281" s="2"/>
    </row>
    <row r="282" spans="16:33" ht="12" customHeight="1" x14ac:dyDescent="0.2">
      <c r="P282" s="215" t="s">
        <v>538</v>
      </c>
      <c r="Q282" s="22" t="s">
        <v>99</v>
      </c>
      <c r="R282" s="106">
        <v>1</v>
      </c>
      <c r="S282" s="167">
        <f>IF($G$15&lt;=450,R299,(IF($G$15&lt;=600,R300,(IF($G$15&lt;=750,R301,(IF($G$15&lt;=1000,R302,(IF($G$15&lt;=1500,R303,(IF($G$15&gt;1500,R304)))))))))))</f>
        <v>75</v>
      </c>
      <c r="T282" s="104">
        <f>R282*S282</f>
        <v>75</v>
      </c>
      <c r="U282" s="2"/>
      <c r="V282" s="2"/>
      <c r="W282" s="2"/>
      <c r="X282" s="2"/>
      <c r="Y282" s="2"/>
      <c r="Z282" s="2"/>
      <c r="AA282" s="218"/>
      <c r="AB282" s="2"/>
      <c r="AC282" s="2"/>
      <c r="AD282" s="2"/>
      <c r="AE282" s="2"/>
      <c r="AF282" s="2"/>
      <c r="AG282" s="2"/>
    </row>
    <row r="283" spans="16:33" ht="12" customHeight="1" x14ac:dyDescent="0.2">
      <c r="P283" s="215" t="s">
        <v>539</v>
      </c>
      <c r="Q283" s="22" t="s">
        <v>101</v>
      </c>
      <c r="R283" s="106">
        <v>1</v>
      </c>
      <c r="S283" s="169">
        <f>IF($G$15&lt;=450,S299,(IF($G$15&lt;=600,S300,(IF($G$15&lt;=750,S301,(IF($G$15&lt;=1000,S302,(IF($G$15&lt;=1500,S303,(IF($G$15&gt;1500,S304)))))))))))</f>
        <v>140</v>
      </c>
      <c r="T283" s="112">
        <f>R283*S283</f>
        <v>140</v>
      </c>
      <c r="U283" s="2"/>
      <c r="V283" s="2"/>
      <c r="W283" s="2"/>
      <c r="X283" s="2"/>
      <c r="Y283" s="2"/>
      <c r="Z283" s="2"/>
      <c r="AA283" s="218"/>
      <c r="AB283" s="2"/>
      <c r="AC283" s="2"/>
      <c r="AD283" s="2"/>
      <c r="AE283" s="2"/>
      <c r="AF283" s="2"/>
      <c r="AG283" s="2"/>
    </row>
    <row r="284" spans="16:33" ht="12" customHeight="1" x14ac:dyDescent="0.2">
      <c r="P284" s="215"/>
      <c r="Q284" s="22"/>
      <c r="R284" s="80"/>
      <c r="S284" s="80"/>
      <c r="T284" s="73"/>
      <c r="U284" s="2"/>
      <c r="V284" s="2"/>
      <c r="W284" s="2"/>
      <c r="X284" s="2"/>
      <c r="Y284" s="2"/>
      <c r="Z284" s="2"/>
      <c r="AA284" s="117"/>
      <c r="AB284" s="2"/>
      <c r="AC284" s="2"/>
      <c r="AD284" s="2"/>
      <c r="AE284" s="2"/>
      <c r="AF284" s="2"/>
      <c r="AG284" s="2"/>
    </row>
    <row r="285" spans="16:33" ht="12" customHeight="1" thickBot="1" x14ac:dyDescent="0.25">
      <c r="P285" s="219" t="s">
        <v>198</v>
      </c>
      <c r="Q285" s="114"/>
      <c r="R285" s="148"/>
      <c r="S285" s="148"/>
      <c r="T285" s="116" t="e">
        <f>SUM(T275:T283)</f>
        <v>#REF!</v>
      </c>
      <c r="U285" s="2"/>
      <c r="V285" s="2"/>
      <c r="W285" s="2"/>
      <c r="X285" s="2"/>
      <c r="Y285" s="2"/>
      <c r="Z285" s="2"/>
      <c r="AA285" s="2"/>
      <c r="AB285" s="2"/>
      <c r="AC285" s="2"/>
      <c r="AD285" s="2"/>
      <c r="AE285" s="2"/>
      <c r="AF285" s="2"/>
      <c r="AG285" s="2"/>
    </row>
    <row r="286" spans="16:33" ht="12" customHeight="1" thickTop="1" thickBot="1" x14ac:dyDescent="0.25">
      <c r="P286" s="2"/>
      <c r="Q286" s="2"/>
      <c r="R286" s="2"/>
      <c r="S286" s="2"/>
      <c r="T286" s="2"/>
      <c r="U286" s="2"/>
      <c r="V286" s="2"/>
      <c r="W286" s="2"/>
      <c r="X286" s="2"/>
      <c r="Y286" s="2"/>
      <c r="Z286" s="2"/>
      <c r="AA286" s="2"/>
      <c r="AB286" s="2"/>
      <c r="AC286" s="2"/>
      <c r="AD286" s="2"/>
      <c r="AE286" s="2"/>
      <c r="AF286" s="2"/>
      <c r="AG286" s="2"/>
    </row>
    <row r="287" spans="16:33" ht="12" customHeight="1" thickBot="1" x14ac:dyDescent="0.25">
      <c r="P287" s="2"/>
      <c r="Q287" s="945" t="s">
        <v>200</v>
      </c>
      <c r="R287" s="946"/>
      <c r="S287" s="946"/>
      <c r="T287" s="946"/>
      <c r="U287" s="946"/>
      <c r="V287" s="947"/>
      <c r="W287" s="2"/>
      <c r="X287" s="2"/>
      <c r="Y287" s="2"/>
      <c r="Z287" s="2"/>
      <c r="AA287" s="2"/>
      <c r="AB287" s="2"/>
      <c r="AC287" s="2"/>
      <c r="AD287" s="2"/>
      <c r="AE287" s="2"/>
      <c r="AF287" s="2"/>
      <c r="AG287" s="2"/>
    </row>
    <row r="288" spans="16:33" ht="12" customHeight="1" thickBot="1" x14ac:dyDescent="0.25">
      <c r="P288" s="2"/>
      <c r="Q288" s="173" t="s">
        <v>88</v>
      </c>
      <c r="R288" s="194" t="s">
        <v>89</v>
      </c>
      <c r="S288" s="194" t="s">
        <v>90</v>
      </c>
      <c r="T288" s="194" t="s">
        <v>91</v>
      </c>
      <c r="U288" s="205" t="s">
        <v>92</v>
      </c>
      <c r="V288" s="174" t="s">
        <v>93</v>
      </c>
      <c r="W288" s="2"/>
      <c r="X288" s="2"/>
      <c r="Y288" s="2"/>
      <c r="Z288" s="2"/>
      <c r="AA288" s="2"/>
      <c r="AB288" s="2"/>
      <c r="AC288" s="2"/>
      <c r="AD288" s="2"/>
      <c r="AE288" s="2"/>
      <c r="AF288" s="2"/>
      <c r="AG288" s="2"/>
    </row>
    <row r="289" spans="16:31" ht="12" customHeight="1" x14ac:dyDescent="0.2">
      <c r="P289" s="2"/>
      <c r="Q289" s="176" t="s">
        <v>94</v>
      </c>
      <c r="R289" s="220" t="s">
        <v>89</v>
      </c>
      <c r="S289" s="221" t="s">
        <v>92</v>
      </c>
      <c r="T289" s="222">
        <v>3.5</v>
      </c>
      <c r="U289" s="206" t="s">
        <v>92</v>
      </c>
      <c r="V289" s="223">
        <v>0.36</v>
      </c>
      <c r="W289" s="2"/>
      <c r="X289" s="2"/>
      <c r="Y289" s="2"/>
      <c r="Z289" s="2"/>
      <c r="AA289" s="2"/>
      <c r="AB289" s="2"/>
      <c r="AC289" s="2"/>
      <c r="AD289" s="2"/>
      <c r="AE289" s="2"/>
    </row>
    <row r="290" spans="16:31" ht="12" customHeight="1" x14ac:dyDescent="0.2">
      <c r="P290" s="2"/>
      <c r="Q290" s="179" t="s">
        <v>722</v>
      </c>
      <c r="R290" s="221" t="s">
        <v>89</v>
      </c>
      <c r="S290" s="221" t="s">
        <v>92</v>
      </c>
      <c r="T290" s="222">
        <v>3.5</v>
      </c>
      <c r="U290" s="206" t="s">
        <v>92</v>
      </c>
      <c r="V290" s="224">
        <v>0.34</v>
      </c>
      <c r="W290" s="2"/>
      <c r="X290" s="2"/>
      <c r="Y290" s="2"/>
      <c r="Z290" s="2"/>
      <c r="AA290" s="2"/>
      <c r="AB290" s="2"/>
      <c r="AC290" s="2"/>
      <c r="AD290" s="2"/>
      <c r="AE290" s="2"/>
    </row>
    <row r="291" spans="16:31" ht="12" customHeight="1" x14ac:dyDescent="0.2">
      <c r="P291" s="2"/>
      <c r="Q291" s="179" t="s">
        <v>95</v>
      </c>
      <c r="R291" s="221" t="s">
        <v>89</v>
      </c>
      <c r="S291" s="221" t="s">
        <v>92</v>
      </c>
      <c r="T291" s="222">
        <v>3.5</v>
      </c>
      <c r="U291" s="206" t="s">
        <v>92</v>
      </c>
      <c r="V291" s="224">
        <v>0.11</v>
      </c>
      <c r="W291" s="2"/>
      <c r="X291" s="2"/>
      <c r="Y291" s="2"/>
      <c r="Z291" s="2"/>
      <c r="AA291" s="2"/>
      <c r="AB291" s="2"/>
      <c r="AC291" s="2"/>
      <c r="AD291" s="2"/>
      <c r="AE291" s="2"/>
    </row>
    <row r="292" spans="16:31" ht="12" customHeight="1" x14ac:dyDescent="0.2">
      <c r="P292" s="2"/>
      <c r="Q292" s="179" t="s">
        <v>720</v>
      </c>
      <c r="R292" s="221" t="s">
        <v>89</v>
      </c>
      <c r="S292" s="221" t="s">
        <v>92</v>
      </c>
      <c r="T292" s="222">
        <v>3.5</v>
      </c>
      <c r="U292" s="206" t="s">
        <v>92</v>
      </c>
      <c r="V292" s="224">
        <v>0.1</v>
      </c>
      <c r="W292" s="2"/>
      <c r="X292" s="2"/>
      <c r="Y292" s="2"/>
      <c r="Z292" s="2"/>
      <c r="AA292" s="2"/>
      <c r="AB292" s="2"/>
      <c r="AC292" s="2"/>
      <c r="AD292" s="2"/>
      <c r="AE292" s="2"/>
    </row>
    <row r="293" spans="16:31" ht="12" customHeight="1" x14ac:dyDescent="0.2">
      <c r="P293" s="2"/>
      <c r="Q293" s="179" t="s">
        <v>721</v>
      </c>
      <c r="R293" s="221" t="s">
        <v>89</v>
      </c>
      <c r="S293" s="221" t="s">
        <v>92</v>
      </c>
      <c r="T293" s="222">
        <v>3.5</v>
      </c>
      <c r="U293" s="206" t="s">
        <v>92</v>
      </c>
      <c r="V293" s="224">
        <v>0.09</v>
      </c>
      <c r="W293" s="2"/>
      <c r="X293" s="2"/>
      <c r="Y293" s="2"/>
      <c r="Z293" s="2"/>
      <c r="AA293" s="2"/>
      <c r="AB293" s="2"/>
      <c r="AC293" s="2"/>
      <c r="AD293" s="2"/>
      <c r="AE293" s="2"/>
    </row>
    <row r="294" spans="16:31" ht="12" customHeight="1" thickBot="1" x14ac:dyDescent="0.25">
      <c r="P294" s="2"/>
      <c r="Q294" s="176" t="s">
        <v>96</v>
      </c>
      <c r="R294" s="221" t="s">
        <v>89</v>
      </c>
      <c r="S294" s="221" t="s">
        <v>92</v>
      </c>
      <c r="T294" s="222">
        <v>2</v>
      </c>
      <c r="U294" s="206"/>
      <c r="V294" s="225"/>
      <c r="W294" s="2"/>
      <c r="X294" s="2"/>
      <c r="Y294" s="2"/>
      <c r="Z294" s="2"/>
      <c r="AA294" s="2"/>
      <c r="AB294" s="2"/>
      <c r="AC294" s="2"/>
      <c r="AD294" s="2"/>
      <c r="AE294" s="2"/>
    </row>
    <row r="295" spans="16:31" ht="12" customHeight="1" thickBot="1" x14ac:dyDescent="0.25">
      <c r="P295" s="2"/>
      <c r="Q295" s="948" t="s">
        <v>97</v>
      </c>
      <c r="R295" s="949"/>
      <c r="S295" s="949"/>
      <c r="T295" s="949"/>
      <c r="U295" s="949"/>
      <c r="V295" s="950"/>
      <c r="W295" s="2"/>
      <c r="X295" s="2"/>
      <c r="Y295" s="2"/>
      <c r="Z295" s="2"/>
      <c r="AA295" s="2"/>
      <c r="AB295" s="2"/>
      <c r="AC295" s="2"/>
    </row>
    <row r="296" spans="16:31" ht="12" customHeight="1" thickBot="1" x14ac:dyDescent="0.25">
      <c r="P296" s="2"/>
      <c r="Q296" s="2"/>
      <c r="R296" s="2"/>
      <c r="S296" s="2"/>
      <c r="T296" s="2"/>
      <c r="U296" s="2"/>
      <c r="V296" s="2"/>
      <c r="W296" s="2"/>
      <c r="X296" s="2"/>
      <c r="Y296" s="2"/>
      <c r="Z296" s="2"/>
      <c r="AA296" s="2"/>
      <c r="AB296" s="2"/>
      <c r="AC296" s="2"/>
    </row>
    <row r="297" spans="16:31" ht="12" customHeight="1" thickBot="1" x14ac:dyDescent="0.25">
      <c r="P297" s="2"/>
      <c r="Q297" s="945" t="s">
        <v>102</v>
      </c>
      <c r="R297" s="946"/>
      <c r="S297" s="946"/>
      <c r="T297" s="947"/>
      <c r="U297" s="2"/>
      <c r="V297" s="2"/>
      <c r="W297" s="2"/>
      <c r="X297" s="2"/>
      <c r="Y297" s="2"/>
      <c r="Z297" s="2"/>
      <c r="AA297" s="2"/>
      <c r="AB297" s="2"/>
      <c r="AC297" s="2"/>
    </row>
    <row r="298" spans="16:31" ht="12" customHeight="1" thickBot="1" x14ac:dyDescent="0.25">
      <c r="P298" s="2"/>
      <c r="Q298" s="201" t="s">
        <v>103</v>
      </c>
      <c r="R298" s="194" t="s">
        <v>719</v>
      </c>
      <c r="S298" s="174" t="s">
        <v>199</v>
      </c>
      <c r="T298" s="174" t="s">
        <v>179</v>
      </c>
      <c r="U298" s="2"/>
      <c r="V298" s="2"/>
      <c r="W298" s="2"/>
      <c r="X298" s="2"/>
      <c r="Y298" s="2"/>
      <c r="Z298" s="2"/>
      <c r="AA298" s="2"/>
      <c r="AB298" s="2"/>
      <c r="AC298" s="2"/>
    </row>
    <row r="299" spans="16:31" ht="12" customHeight="1" x14ac:dyDescent="0.2">
      <c r="P299" s="2"/>
      <c r="Q299" s="137" t="s">
        <v>458</v>
      </c>
      <c r="R299" s="203">
        <v>75</v>
      </c>
      <c r="S299" s="195">
        <v>140</v>
      </c>
      <c r="T299" s="226">
        <f>SUM(R299:S299)</f>
        <v>215</v>
      </c>
      <c r="U299" s="2"/>
      <c r="V299" s="2"/>
      <c r="W299" s="2"/>
      <c r="X299" s="2"/>
      <c r="Y299" s="2"/>
      <c r="Z299" s="2"/>
      <c r="AA299" s="2"/>
      <c r="AB299" s="2"/>
      <c r="AC299" s="2"/>
    </row>
    <row r="300" spans="16:31" ht="12" customHeight="1" x14ac:dyDescent="0.2">
      <c r="P300" s="2"/>
      <c r="Q300" s="140" t="s">
        <v>459</v>
      </c>
      <c r="R300" s="141">
        <v>75</v>
      </c>
      <c r="S300" s="197">
        <v>140</v>
      </c>
      <c r="T300" s="139">
        <f t="shared" ref="T300:T304" si="20">SUM(R300:S300)</f>
        <v>215</v>
      </c>
      <c r="U300" s="2"/>
      <c r="V300" s="2"/>
      <c r="W300" s="2"/>
      <c r="X300" s="2"/>
      <c r="Y300" s="2"/>
      <c r="Z300" s="2"/>
      <c r="AA300" s="2"/>
      <c r="AB300" s="2"/>
      <c r="AC300" s="2"/>
    </row>
    <row r="301" spans="16:31" ht="12" customHeight="1" x14ac:dyDescent="0.2">
      <c r="P301" s="2"/>
      <c r="Q301" s="140" t="s">
        <v>456</v>
      </c>
      <c r="R301" s="141">
        <v>75</v>
      </c>
      <c r="S301" s="197">
        <v>140</v>
      </c>
      <c r="T301" s="139">
        <f t="shared" si="20"/>
        <v>215</v>
      </c>
      <c r="U301" s="2"/>
      <c r="V301" s="2"/>
      <c r="W301" s="2"/>
      <c r="X301" s="2"/>
      <c r="Y301" s="2"/>
      <c r="Z301" s="2"/>
      <c r="AA301" s="2"/>
      <c r="AB301" s="2"/>
    </row>
    <row r="302" spans="16:31" ht="12" customHeight="1" x14ac:dyDescent="0.2">
      <c r="P302" s="2"/>
      <c r="Q302" s="140" t="s">
        <v>457</v>
      </c>
      <c r="R302" s="141">
        <v>75</v>
      </c>
      <c r="S302" s="197">
        <v>280</v>
      </c>
      <c r="T302" s="139">
        <f t="shared" si="20"/>
        <v>355</v>
      </c>
      <c r="U302" s="2"/>
      <c r="V302" s="2"/>
      <c r="W302" s="2"/>
      <c r="X302" s="2"/>
      <c r="Y302" s="2"/>
      <c r="Z302" s="2"/>
      <c r="AA302" s="2"/>
      <c r="AB302" s="2"/>
    </row>
    <row r="303" spans="16:31" ht="12" customHeight="1" x14ac:dyDescent="0.2">
      <c r="P303" s="2"/>
      <c r="Q303" s="140" t="s">
        <v>108</v>
      </c>
      <c r="R303" s="141">
        <v>75</v>
      </c>
      <c r="S303" s="197">
        <v>280</v>
      </c>
      <c r="T303" s="139">
        <f t="shared" si="20"/>
        <v>355</v>
      </c>
      <c r="U303" s="2"/>
      <c r="V303" s="2"/>
      <c r="W303" s="2"/>
      <c r="X303" s="2"/>
      <c r="Y303" s="2"/>
      <c r="Z303" s="2"/>
      <c r="AA303" s="2"/>
      <c r="AB303" s="2"/>
    </row>
    <row r="304" spans="16:31" ht="12" customHeight="1" thickBot="1" x14ac:dyDescent="0.25">
      <c r="P304" s="2"/>
      <c r="Q304" s="142" t="s">
        <v>109</v>
      </c>
      <c r="R304" s="143">
        <v>75</v>
      </c>
      <c r="S304" s="199">
        <v>280</v>
      </c>
      <c r="T304" s="144">
        <f t="shared" si="20"/>
        <v>355</v>
      </c>
      <c r="U304" s="2"/>
      <c r="V304" s="2"/>
      <c r="W304" s="2"/>
      <c r="X304" s="2"/>
      <c r="Y304" s="2"/>
      <c r="Z304" s="2"/>
      <c r="AA304" s="2"/>
      <c r="AB304" s="2"/>
    </row>
    <row r="305" spans="16:28" ht="12" customHeight="1" thickBot="1" x14ac:dyDescent="0.25">
      <c r="P305" s="2"/>
      <c r="Q305" s="948" t="s">
        <v>110</v>
      </c>
      <c r="R305" s="949"/>
      <c r="S305" s="949"/>
      <c r="T305" s="950"/>
      <c r="U305" s="2"/>
      <c r="V305" s="2"/>
      <c r="W305" s="2"/>
      <c r="X305" s="2"/>
      <c r="Y305" s="2"/>
      <c r="Z305" s="2"/>
      <c r="AA305" s="2"/>
      <c r="AB305" s="2"/>
    </row>
    <row r="306" spans="16:28" ht="12" customHeight="1" x14ac:dyDescent="0.2">
      <c r="P306" s="2"/>
      <c r="Q306" s="2"/>
      <c r="R306" s="2"/>
      <c r="S306" s="2"/>
      <c r="T306" s="2"/>
      <c r="U306" s="2"/>
      <c r="V306" s="2"/>
      <c r="W306" s="2"/>
    </row>
    <row r="307" spans="16:28" ht="12" customHeight="1" thickBot="1" x14ac:dyDescent="0.25">
      <c r="P307" s="2"/>
      <c r="Q307" s="2"/>
      <c r="R307" s="2"/>
      <c r="S307" s="2"/>
      <c r="T307" s="2"/>
      <c r="U307" s="2"/>
      <c r="V307" s="2"/>
      <c r="W307" s="2"/>
    </row>
    <row r="308" spans="16:28" ht="12" customHeight="1" x14ac:dyDescent="0.2">
      <c r="P308" s="970" t="s">
        <v>201</v>
      </c>
      <c r="Q308" s="951"/>
      <c r="R308" s="951"/>
      <c r="S308" s="951"/>
      <c r="T308" s="971"/>
      <c r="U308" s="2"/>
      <c r="V308" s="2"/>
      <c r="W308" s="2"/>
    </row>
    <row r="309" spans="16:28" ht="12" customHeight="1" thickBot="1" x14ac:dyDescent="0.25">
      <c r="P309" s="972"/>
      <c r="Q309" s="891"/>
      <c r="R309" s="891"/>
      <c r="S309" s="891"/>
      <c r="T309" s="973"/>
      <c r="U309" s="2"/>
      <c r="V309" s="2"/>
      <c r="W309" s="2"/>
      <c r="X309" s="2"/>
      <c r="Y309" s="2"/>
      <c r="Z309" s="2"/>
      <c r="AA309" s="18"/>
    </row>
    <row r="310" spans="16:28" ht="12" customHeight="1" x14ac:dyDescent="0.2">
      <c r="P310" s="182"/>
      <c r="Q310" s="96"/>
      <c r="R310" s="473" t="s">
        <v>33</v>
      </c>
      <c r="S310" s="474"/>
      <c r="T310" s="475"/>
      <c r="U310" s="2"/>
      <c r="V310" s="2"/>
      <c r="W310" s="2"/>
      <c r="X310" s="2"/>
      <c r="Y310" s="2"/>
      <c r="Z310" s="2"/>
      <c r="AA310" s="18"/>
    </row>
    <row r="311" spans="16:28" ht="12" customHeight="1" thickBot="1" x14ac:dyDescent="0.25">
      <c r="P311" s="183" t="s">
        <v>121</v>
      </c>
      <c r="Q311" s="99"/>
      <c r="R311" s="100" t="s">
        <v>122</v>
      </c>
      <c r="S311" s="100" t="s">
        <v>38</v>
      </c>
      <c r="T311" s="99" t="s">
        <v>123</v>
      </c>
      <c r="U311" s="2"/>
      <c r="V311" s="2"/>
      <c r="W311" s="2"/>
      <c r="X311" s="2"/>
      <c r="Y311" s="2"/>
      <c r="Z311" s="2"/>
      <c r="AA311" s="18"/>
    </row>
    <row r="312" spans="16:28" ht="12" customHeight="1" x14ac:dyDescent="0.2">
      <c r="P312" s="48" t="s">
        <v>540</v>
      </c>
      <c r="Q312" s="22" t="s">
        <v>203</v>
      </c>
      <c r="R312" s="106">
        <v>1</v>
      </c>
      <c r="S312" s="167">
        <f>IF($G$15&lt;=450,R319,(IF($G$15&lt;=600,R320,(IF($G$15&lt;=750,R321,(IF($G$15&lt;=1000,R322,(IF($G$15&lt;=1500,R323,(IF($G$15&gt;1500,R324)))))))))))</f>
        <v>200</v>
      </c>
      <c r="T312" s="104">
        <f>R312*S312</f>
        <v>200</v>
      </c>
      <c r="U312" s="214" t="s">
        <v>41</v>
      </c>
      <c r="V312" s="2"/>
      <c r="W312" s="2"/>
      <c r="X312" s="2"/>
      <c r="Y312" s="2"/>
      <c r="Z312" s="2"/>
    </row>
    <row r="313" spans="16:28" ht="12" customHeight="1" x14ac:dyDescent="0.2">
      <c r="P313" s="48" t="s">
        <v>541</v>
      </c>
      <c r="Q313" s="22" t="s">
        <v>112</v>
      </c>
      <c r="R313" s="106">
        <v>1</v>
      </c>
      <c r="S313" s="169">
        <f>IF($G$15&lt;=400,S319,(IF($G$15&lt;=550,S320,(IF($G$15&lt;=700,S321,(IF($G$15&lt;=1000,S322,(IF($G$15&lt;=1500,S323,(IF($G$15&gt;1500,S324)))))))))))</f>
        <v>100</v>
      </c>
      <c r="T313" s="112">
        <f>R313*S313</f>
        <v>100</v>
      </c>
      <c r="U313" s="2"/>
      <c r="V313" s="2"/>
      <c r="W313" s="2"/>
      <c r="X313" s="2"/>
      <c r="Y313" s="2"/>
      <c r="Z313" s="2"/>
      <c r="AA313" s="18"/>
    </row>
    <row r="314" spans="16:28" ht="12" customHeight="1" x14ac:dyDescent="0.2">
      <c r="P314" s="48"/>
      <c r="Q314" s="22"/>
      <c r="R314" s="80"/>
      <c r="S314" s="80"/>
      <c r="T314" s="73"/>
      <c r="U314" s="2"/>
      <c r="V314" s="2"/>
      <c r="W314" s="2"/>
      <c r="X314" s="2"/>
      <c r="Y314" s="2"/>
      <c r="Z314" s="2"/>
      <c r="AA314" s="18"/>
    </row>
    <row r="315" spans="16:28" ht="12" customHeight="1" thickBot="1" x14ac:dyDescent="0.25">
      <c r="P315" s="44" t="s">
        <v>204</v>
      </c>
      <c r="Q315" s="45"/>
      <c r="R315" s="184"/>
      <c r="S315" s="184"/>
      <c r="T315" s="185">
        <f>SUM(T312:T313)</f>
        <v>300</v>
      </c>
      <c r="U315" s="2"/>
      <c r="V315" s="2"/>
      <c r="W315" s="2"/>
      <c r="X315" s="2"/>
      <c r="Y315" s="2"/>
      <c r="Z315" s="2"/>
      <c r="AA315" s="18"/>
    </row>
    <row r="316" spans="16:28" ht="12" customHeight="1" thickBot="1" x14ac:dyDescent="0.25">
      <c r="P316" s="18"/>
      <c r="Q316" s="32"/>
      <c r="R316" s="32"/>
      <c r="S316" s="32"/>
      <c r="T316" s="122"/>
      <c r="U316" s="122"/>
      <c r="V316" s="122"/>
      <c r="W316" s="122"/>
      <c r="X316" s="122"/>
      <c r="Y316" s="122"/>
      <c r="Z316" s="122"/>
      <c r="AA316" s="18"/>
    </row>
    <row r="317" spans="16:28" ht="12" customHeight="1" thickBot="1" x14ac:dyDescent="0.25">
      <c r="P317" s="18"/>
      <c r="Q317" s="945" t="s">
        <v>102</v>
      </c>
      <c r="R317" s="946"/>
      <c r="S317" s="946"/>
      <c r="T317" s="947"/>
      <c r="U317" s="122"/>
      <c r="V317" s="122"/>
      <c r="W317" s="122"/>
      <c r="X317" s="122"/>
      <c r="Y317" s="122"/>
      <c r="Z317" s="122"/>
      <c r="AA317" s="18"/>
    </row>
    <row r="318" spans="16:28" ht="12" customHeight="1" thickBot="1" x14ac:dyDescent="0.25">
      <c r="P318" s="60"/>
      <c r="Q318" s="173" t="s">
        <v>103</v>
      </c>
      <c r="R318" s="227" t="s">
        <v>205</v>
      </c>
      <c r="S318" s="227" t="s">
        <v>206</v>
      </c>
      <c r="T318" s="228" t="s">
        <v>179</v>
      </c>
      <c r="U318" s="122"/>
      <c r="V318" s="122"/>
      <c r="W318" s="122"/>
      <c r="X318" s="122"/>
      <c r="Y318" s="122"/>
      <c r="Z318" s="122"/>
      <c r="AA318" s="18"/>
    </row>
    <row r="319" spans="16:28" ht="12" customHeight="1" x14ac:dyDescent="0.2">
      <c r="P319" s="18"/>
      <c r="Q319" s="137" t="s">
        <v>458</v>
      </c>
      <c r="R319" s="197">
        <v>200</v>
      </c>
      <c r="S319" s="197">
        <v>100</v>
      </c>
      <c r="T319" s="139">
        <f>SUM(R319:S319)</f>
        <v>300</v>
      </c>
      <c r="U319" s="18"/>
      <c r="V319" s="18"/>
      <c r="W319" s="18"/>
      <c r="X319" s="18"/>
      <c r="Y319" s="18"/>
      <c r="Z319" s="18"/>
      <c r="AA319" s="18"/>
    </row>
    <row r="320" spans="16:28" ht="12" customHeight="1" x14ac:dyDescent="0.2">
      <c r="P320" s="117"/>
      <c r="Q320" s="140" t="s">
        <v>459</v>
      </c>
      <c r="R320" s="197">
        <v>300</v>
      </c>
      <c r="S320" s="197">
        <v>100</v>
      </c>
      <c r="T320" s="139">
        <f t="shared" ref="T320:T324" si="21">SUM(R320:S320)</f>
        <v>400</v>
      </c>
      <c r="U320" s="117"/>
      <c r="V320" s="117"/>
      <c r="W320" s="117"/>
      <c r="X320" s="117"/>
      <c r="Y320" s="117"/>
      <c r="Z320" s="117"/>
      <c r="AA320" s="117"/>
    </row>
    <row r="321" spans="16:27" ht="12" customHeight="1" x14ac:dyDescent="0.2">
      <c r="P321" s="117"/>
      <c r="Q321" s="140" t="s">
        <v>456</v>
      </c>
      <c r="R321" s="197">
        <v>400</v>
      </c>
      <c r="S321" s="197">
        <v>100</v>
      </c>
      <c r="T321" s="139">
        <f t="shared" si="21"/>
        <v>500</v>
      </c>
      <c r="U321" s="117"/>
      <c r="V321" s="117"/>
      <c r="W321" s="117"/>
      <c r="X321" s="117"/>
      <c r="Y321" s="117"/>
      <c r="Z321" s="117"/>
      <c r="AA321" s="117"/>
    </row>
    <row r="322" spans="16:27" ht="12" customHeight="1" x14ac:dyDescent="0.2">
      <c r="P322" s="117"/>
      <c r="Q322" s="140" t="s">
        <v>457</v>
      </c>
      <c r="R322" s="197">
        <v>600</v>
      </c>
      <c r="S322" s="197">
        <v>100</v>
      </c>
      <c r="T322" s="139">
        <f t="shared" si="21"/>
        <v>700</v>
      </c>
      <c r="U322" s="117"/>
      <c r="V322" s="117"/>
      <c r="W322" s="117"/>
      <c r="X322" s="117"/>
      <c r="Y322" s="117"/>
      <c r="Z322" s="117"/>
      <c r="AA322" s="117"/>
    </row>
    <row r="323" spans="16:27" ht="12" customHeight="1" x14ac:dyDescent="0.2">
      <c r="P323" s="117"/>
      <c r="Q323" s="140" t="s">
        <v>108</v>
      </c>
      <c r="R323" s="197">
        <v>800</v>
      </c>
      <c r="S323" s="197">
        <v>100</v>
      </c>
      <c r="T323" s="139">
        <f t="shared" si="21"/>
        <v>900</v>
      </c>
      <c r="U323" s="117"/>
      <c r="V323" s="117"/>
      <c r="W323" s="117"/>
      <c r="X323" s="117"/>
      <c r="Y323" s="117"/>
      <c r="Z323" s="117"/>
      <c r="AA323" s="117"/>
    </row>
    <row r="324" spans="16:27" ht="12" customHeight="1" thickBot="1" x14ac:dyDescent="0.25">
      <c r="P324" s="117"/>
      <c r="Q324" s="142" t="s">
        <v>109</v>
      </c>
      <c r="R324" s="199">
        <v>800</v>
      </c>
      <c r="S324" s="199">
        <v>100</v>
      </c>
      <c r="T324" s="144">
        <f t="shared" si="21"/>
        <v>900</v>
      </c>
      <c r="U324" s="122"/>
      <c r="V324" s="122"/>
      <c r="W324" s="122"/>
      <c r="X324" s="122"/>
      <c r="Y324" s="122"/>
      <c r="Z324" s="122"/>
      <c r="AA324" s="117"/>
    </row>
    <row r="325" spans="16:27" ht="12" customHeight="1" thickBot="1" x14ac:dyDescent="0.25">
      <c r="P325" s="117"/>
      <c r="Q325" s="948" t="s">
        <v>110</v>
      </c>
      <c r="R325" s="949"/>
      <c r="S325" s="949"/>
      <c r="T325" s="950"/>
      <c r="U325" s="122"/>
      <c r="V325" s="122"/>
      <c r="W325" s="122"/>
      <c r="X325" s="122"/>
      <c r="Y325" s="122"/>
      <c r="Z325" s="122"/>
      <c r="AA325" s="117"/>
    </row>
    <row r="326" spans="16:27" ht="12" customHeight="1" x14ac:dyDescent="0.2">
      <c r="P326" s="117"/>
      <c r="T326" s="122"/>
      <c r="U326" s="122"/>
      <c r="V326" s="122"/>
      <c r="W326" s="122"/>
      <c r="X326" s="122"/>
      <c r="Y326" s="122"/>
      <c r="Z326" s="122"/>
      <c r="AA326" s="117"/>
    </row>
    <row r="327" spans="16:27" ht="12" customHeight="1" x14ac:dyDescent="0.2"/>
    <row r="328" spans="16:27" ht="12" customHeight="1" x14ac:dyDescent="0.2">
      <c r="P328" s="983" t="s">
        <v>207</v>
      </c>
      <c r="Q328" s="983"/>
      <c r="R328" s="983"/>
      <c r="S328" s="983"/>
      <c r="T328" s="983"/>
    </row>
    <row r="329" spans="16:27" ht="12" customHeight="1" thickBot="1" x14ac:dyDescent="0.25">
      <c r="P329" s="891"/>
      <c r="Q329" s="891"/>
      <c r="R329" s="891"/>
      <c r="S329" s="891"/>
      <c r="T329" s="891"/>
      <c r="U329" s="18"/>
      <c r="AA329" s="18"/>
    </row>
    <row r="330" spans="16:27" ht="12" customHeight="1" x14ac:dyDescent="0.2">
      <c r="P330" s="95"/>
      <c r="Q330" s="96"/>
      <c r="R330" s="473" t="s">
        <v>33</v>
      </c>
      <c r="S330" s="474"/>
      <c r="T330" s="475"/>
      <c r="U330" s="18"/>
      <c r="AA330" s="18"/>
    </row>
    <row r="331" spans="16:27" ht="12" customHeight="1" thickBot="1" x14ac:dyDescent="0.25">
      <c r="P331" s="98" t="s">
        <v>121</v>
      </c>
      <c r="Q331" s="99"/>
      <c r="R331" s="100" t="s">
        <v>122</v>
      </c>
      <c r="S331" s="100" t="s">
        <v>38</v>
      </c>
      <c r="T331" s="99" t="s">
        <v>123</v>
      </c>
      <c r="U331" s="18"/>
      <c r="AA331" s="18"/>
    </row>
    <row r="332" spans="16:27" ht="12" customHeight="1" x14ac:dyDescent="0.2">
      <c r="P332" s="101" t="s">
        <v>542</v>
      </c>
      <c r="Q332" s="50" t="s">
        <v>116</v>
      </c>
      <c r="R332" s="229" t="s">
        <v>40</v>
      </c>
      <c r="S332" s="230" t="e">
        <f>SUM(T24+T55+T91+T127+T158+T192+T218+T242+T285+T315+T379+T399)*0.035</f>
        <v>#REF!</v>
      </c>
      <c r="T332" s="231" t="e">
        <f>1*S332</f>
        <v>#REF!</v>
      </c>
      <c r="U332" s="218" t="s">
        <v>209</v>
      </c>
      <c r="AA332" s="218"/>
    </row>
    <row r="333" spans="16:27" ht="12" customHeight="1" x14ac:dyDescent="0.2">
      <c r="P333" s="101" t="s">
        <v>543</v>
      </c>
      <c r="Q333" s="50" t="s">
        <v>211</v>
      </c>
      <c r="R333" s="106">
        <v>1</v>
      </c>
      <c r="S333" s="80">
        <f>IF($G$15&lt;=450,R362,(IF($G$15&lt;=600,R363,(IF($G$15&lt;=750,R364,(IF($G$15&lt;=1000,R365,(IF($G$15&lt;=1500,R366,(IF($G$15&gt;1500,R367)))))))))))</f>
        <v>100</v>
      </c>
      <c r="T333" s="104">
        <f>R333*S333</f>
        <v>100</v>
      </c>
      <c r="U333" s="218"/>
      <c r="AA333" s="218"/>
    </row>
    <row r="334" spans="16:27" ht="12" customHeight="1" x14ac:dyDescent="0.2">
      <c r="P334" s="101" t="s">
        <v>544</v>
      </c>
      <c r="Q334" s="50" t="s">
        <v>213</v>
      </c>
      <c r="R334" s="106">
        <v>1</v>
      </c>
      <c r="S334" s="80">
        <f>IF($G$15&lt;=450,S362,(IF($G$15&lt;=600,S363,(IF($G$15&lt;=750,S364,(IF($G$15&lt;=1000,S365,(IF($G$15&lt;=1500,S366,(IF($G$15&gt;1500,S367)))))))))))</f>
        <v>100</v>
      </c>
      <c r="T334" s="104">
        <f>R334*S334</f>
        <v>100</v>
      </c>
      <c r="U334" s="218"/>
      <c r="AA334" s="218"/>
    </row>
    <row r="335" spans="16:27" ht="12" customHeight="1" x14ac:dyDescent="0.2">
      <c r="P335" s="101" t="s">
        <v>545</v>
      </c>
      <c r="Q335" s="50" t="s">
        <v>215</v>
      </c>
      <c r="R335" s="106">
        <v>1</v>
      </c>
      <c r="S335" s="80">
        <f>IF($G$15&lt;=450,T362,(IF($G$15&lt;=600,T363,(IF($G$15&lt;=750,T364,(IF($G$15&lt;=1000,T365,(IF($G$15&lt;=1500,T366,(IF($G$15&gt;1500,T367)))))))))))</f>
        <v>128</v>
      </c>
      <c r="T335" s="104">
        <f>R335*S335</f>
        <v>128</v>
      </c>
      <c r="U335" s="218" t="s">
        <v>41</v>
      </c>
      <c r="AA335" s="218"/>
    </row>
    <row r="336" spans="16:27" ht="12" customHeight="1" x14ac:dyDescent="0.2">
      <c r="P336" s="101" t="s">
        <v>546</v>
      </c>
      <c r="Q336" s="50" t="s">
        <v>117</v>
      </c>
      <c r="R336" s="229" t="s">
        <v>40</v>
      </c>
      <c r="S336" s="230" t="e">
        <f>SUM(G21+G22+G23+T285+T315)*0.2</f>
        <v>#REF!</v>
      </c>
      <c r="T336" s="231" t="e">
        <f>1*S336</f>
        <v>#REF!</v>
      </c>
      <c r="U336" s="218" t="s">
        <v>209</v>
      </c>
      <c r="AA336" s="218"/>
    </row>
    <row r="337" spans="16:27" ht="12" customHeight="1" x14ac:dyDescent="0.2">
      <c r="P337" s="101"/>
      <c r="Q337" s="232" t="s">
        <v>217</v>
      </c>
      <c r="R337" s="233" t="s">
        <v>40</v>
      </c>
      <c r="S337" s="234"/>
      <c r="T337" s="104">
        <f>S337</f>
        <v>0</v>
      </c>
      <c r="U337" s="218" t="s">
        <v>36</v>
      </c>
      <c r="AA337" s="218"/>
    </row>
    <row r="338" spans="16:27" ht="12" customHeight="1" x14ac:dyDescent="0.2">
      <c r="P338" s="101" t="s">
        <v>547</v>
      </c>
      <c r="Q338" s="50" t="s">
        <v>118</v>
      </c>
      <c r="R338" s="229" t="s">
        <v>40</v>
      </c>
      <c r="S338" s="230" t="e">
        <f>SUM(G21+G22+G23+T285+T315)*0.069</f>
        <v>#REF!</v>
      </c>
      <c r="T338" s="231" t="e">
        <f>S338</f>
        <v>#REF!</v>
      </c>
      <c r="U338" s="218" t="s">
        <v>209</v>
      </c>
      <c r="AA338" s="218"/>
    </row>
    <row r="339" spans="16:27" ht="12" customHeight="1" x14ac:dyDescent="0.2">
      <c r="P339" s="101" t="s">
        <v>548</v>
      </c>
      <c r="Q339" s="22" t="s">
        <v>220</v>
      </c>
      <c r="R339" s="106">
        <v>1</v>
      </c>
      <c r="S339" s="235">
        <f>IF($G$15&lt;=450,V362,(IF($G$15&lt;=600,V363,(IF($G$15&lt;=750,V364,(IF($G$15&lt;=1000,V365,(IF($G$15&lt;=1500,V366,(IF($G$15&gt;1500,V367)))))))))))</f>
        <v>150</v>
      </c>
      <c r="T339" s="104">
        <f>R339*S339</f>
        <v>150</v>
      </c>
      <c r="U339" s="218" t="s">
        <v>221</v>
      </c>
      <c r="AA339" s="218"/>
    </row>
    <row r="340" spans="16:27" ht="12" customHeight="1" x14ac:dyDescent="0.2">
      <c r="P340" s="101" t="s">
        <v>549</v>
      </c>
      <c r="Q340" s="22" t="s">
        <v>223</v>
      </c>
      <c r="R340" s="106">
        <v>1</v>
      </c>
      <c r="S340" s="235">
        <f>IF($G$15&lt;=450,W362,(IF($G$15&lt;=600,W363,(IF($G$15&lt;=750,W364,(IF($G$15&lt;=1000,W365,(IF($G$15&lt;=1500,W366,(IF($G$15&gt;1500,W367)))))))))))</f>
        <v>220</v>
      </c>
      <c r="T340" s="104">
        <f>R340*S340</f>
        <v>220</v>
      </c>
      <c r="U340" s="218" t="s">
        <v>221</v>
      </c>
      <c r="AA340" s="218"/>
    </row>
    <row r="341" spans="16:27" ht="12" customHeight="1" x14ac:dyDescent="0.2">
      <c r="P341" s="101" t="s">
        <v>550</v>
      </c>
      <c r="Q341" s="22" t="s">
        <v>225</v>
      </c>
      <c r="R341" s="106">
        <v>1</v>
      </c>
      <c r="S341" s="230">
        <f>IF($G$15&lt;=450,X362,(IF($G$15&lt;=600,X363,(IF($G$15&lt;=750,X364,(IF($G$15&lt;=1000,X365,(IF($G$15&lt;=1500,X366,(IF($G$15&gt;1500,X367)))))))))))</f>
        <v>120</v>
      </c>
      <c r="T341" s="104">
        <f>R341*S341</f>
        <v>120</v>
      </c>
      <c r="U341" s="218"/>
      <c r="AA341" s="218"/>
    </row>
    <row r="342" spans="16:27" ht="12" customHeight="1" x14ac:dyDescent="0.2">
      <c r="P342" s="105" t="s">
        <v>551</v>
      </c>
      <c r="Q342" s="22" t="s">
        <v>143</v>
      </c>
      <c r="R342" s="106">
        <v>1</v>
      </c>
      <c r="S342" s="230">
        <f>IF($G$15&lt;=450,Y362,(IF($G$15&lt;=600,Y363,(IF($G$15&lt;=750,Y364,(IF($G$15&lt;=1000,Y365,(IF($G$15&lt;=1500,Y366,(IF($G$15&gt;1500,Y367)))))))))))</f>
        <v>0</v>
      </c>
      <c r="T342" s="104">
        <f>R342*S342</f>
        <v>0</v>
      </c>
      <c r="U342" s="18"/>
      <c r="AA342" s="18"/>
    </row>
    <row r="343" spans="16:27" ht="12" customHeight="1" x14ac:dyDescent="0.2">
      <c r="P343" s="108" t="s">
        <v>552</v>
      </c>
      <c r="Q343" s="109" t="s">
        <v>228</v>
      </c>
      <c r="R343" s="106">
        <v>1</v>
      </c>
      <c r="S343" s="236">
        <f>IF($G$15&lt;=450,Z362,(IF($G$15&lt;=600,Z363,(IF($G$15&lt;=750,Z364,(IF($G$15&lt;=1000,Z365,(IF($G$15&lt;=1500,Z366,(IF($G$15&gt;1500,Z367)))))))))))</f>
        <v>80</v>
      </c>
      <c r="T343" s="112">
        <f>R343*S343</f>
        <v>80</v>
      </c>
      <c r="U343" s="237" t="s">
        <v>221</v>
      </c>
      <c r="AA343" s="237"/>
    </row>
    <row r="344" spans="16:27" ht="12" customHeight="1" x14ac:dyDescent="0.2">
      <c r="P344" s="101"/>
      <c r="Q344" s="22"/>
      <c r="R344" s="80"/>
      <c r="S344" s="80"/>
      <c r="T344" s="73"/>
      <c r="AA344" s="18"/>
    </row>
    <row r="345" spans="16:27" ht="12" customHeight="1" thickBot="1" x14ac:dyDescent="0.25">
      <c r="P345" s="113" t="s">
        <v>229</v>
      </c>
      <c r="Q345" s="114"/>
      <c r="R345" s="148"/>
      <c r="S345" s="148"/>
      <c r="T345" s="116" t="e">
        <f>SUM(T332:T343)</f>
        <v>#REF!</v>
      </c>
      <c r="AA345" s="18"/>
    </row>
    <row r="346" spans="16:27" ht="12" customHeight="1" thickTop="1" thickBot="1" x14ac:dyDescent="0.25"/>
    <row r="347" spans="16:27" ht="12" customHeight="1" thickBot="1" x14ac:dyDescent="0.25">
      <c r="P347" s="945" t="s">
        <v>230</v>
      </c>
      <c r="Q347" s="946"/>
      <c r="R347" s="946"/>
      <c r="S347" s="946"/>
      <c r="T347" s="946"/>
      <c r="U347" s="946"/>
      <c r="V347" s="946"/>
      <c r="W347" s="946"/>
      <c r="X347" s="947"/>
    </row>
    <row r="348" spans="16:27" ht="12" customHeight="1" thickBot="1" x14ac:dyDescent="0.25">
      <c r="P348" s="149" t="s">
        <v>23</v>
      </c>
      <c r="Q348" s="150" t="s">
        <v>24</v>
      </c>
      <c r="R348" s="151"/>
      <c r="S348" s="151"/>
      <c r="T348" s="151"/>
      <c r="U348" s="151"/>
      <c r="V348" s="151"/>
      <c r="W348" s="238"/>
      <c r="X348" s="239"/>
    </row>
    <row r="349" spans="16:27" ht="12" customHeight="1" x14ac:dyDescent="0.2">
      <c r="P349" s="68">
        <v>1</v>
      </c>
      <c r="Q349" s="153" t="s">
        <v>231</v>
      </c>
      <c r="R349" s="154"/>
      <c r="S349" s="154"/>
      <c r="T349" s="154"/>
      <c r="U349" s="154"/>
      <c r="V349" s="154"/>
      <c r="W349" s="161"/>
      <c r="X349" s="162"/>
    </row>
    <row r="350" spans="16:27" ht="12" customHeight="1" x14ac:dyDescent="0.2">
      <c r="P350" s="68">
        <v>2</v>
      </c>
      <c r="Q350" s="214" t="s">
        <v>232</v>
      </c>
      <c r="R350" s="157"/>
      <c r="S350" s="157"/>
      <c r="T350" s="157"/>
      <c r="U350" s="157"/>
      <c r="V350" s="157"/>
      <c r="W350" s="161"/>
      <c r="X350" s="162"/>
    </row>
    <row r="351" spans="16:27" ht="12" customHeight="1" thickBot="1" x14ac:dyDescent="0.25">
      <c r="P351" s="71"/>
      <c r="Q351" s="164" t="s">
        <v>233</v>
      </c>
      <c r="R351" s="170"/>
      <c r="S351" s="170"/>
      <c r="T351" s="170"/>
      <c r="U351" s="170"/>
      <c r="V351" s="170"/>
      <c r="W351" s="165"/>
      <c r="X351" s="166"/>
    </row>
    <row r="352" spans="16:27" ht="12" customHeight="1" thickBot="1" x14ac:dyDescent="0.25"/>
    <row r="353" spans="17:27" ht="12" customHeight="1" thickBot="1" x14ac:dyDescent="0.25">
      <c r="Q353" s="467" t="s">
        <v>113</v>
      </c>
      <c r="R353" s="468"/>
      <c r="S353" s="468"/>
      <c r="T353" s="469"/>
    </row>
    <row r="354" spans="17:27" ht="12" customHeight="1" thickBot="1" x14ac:dyDescent="0.25">
      <c r="Q354" s="173" t="s">
        <v>114</v>
      </c>
      <c r="R354" s="194" t="s">
        <v>115</v>
      </c>
      <c r="S354" s="194" t="s">
        <v>90</v>
      </c>
      <c r="T354" s="174" t="s">
        <v>93</v>
      </c>
    </row>
    <row r="355" spans="17:27" ht="12" customHeight="1" x14ac:dyDescent="0.2">
      <c r="Q355" s="176" t="s">
        <v>116</v>
      </c>
      <c r="R355" s="240" t="s">
        <v>115</v>
      </c>
      <c r="S355" s="221" t="s">
        <v>92</v>
      </c>
      <c r="T355" s="241">
        <v>3.5</v>
      </c>
    </row>
    <row r="356" spans="17:27" ht="12" customHeight="1" x14ac:dyDescent="0.2">
      <c r="Q356" s="179" t="s">
        <v>117</v>
      </c>
      <c r="R356" s="242" t="s">
        <v>115</v>
      </c>
      <c r="S356" s="221" t="s">
        <v>92</v>
      </c>
      <c r="T356" s="241">
        <v>20</v>
      </c>
    </row>
    <row r="357" spans="17:27" ht="12" customHeight="1" thickBot="1" x14ac:dyDescent="0.25">
      <c r="Q357" s="179" t="s">
        <v>118</v>
      </c>
      <c r="R357" s="206" t="s">
        <v>115</v>
      </c>
      <c r="S357" s="221" t="s">
        <v>92</v>
      </c>
      <c r="T357" s="241">
        <v>6.9</v>
      </c>
    </row>
    <row r="358" spans="17:27" ht="12" customHeight="1" thickBot="1" x14ac:dyDescent="0.25">
      <c r="Q358" s="948" t="s">
        <v>119</v>
      </c>
      <c r="R358" s="949"/>
      <c r="S358" s="949"/>
      <c r="T358" s="950"/>
    </row>
    <row r="359" spans="17:27" ht="12" customHeight="1" thickBot="1" x14ac:dyDescent="0.25"/>
    <row r="360" spans="17:27" ht="12" customHeight="1" thickBot="1" x14ac:dyDescent="0.25">
      <c r="Q360" s="467" t="s">
        <v>102</v>
      </c>
      <c r="R360" s="468"/>
      <c r="S360" s="468"/>
      <c r="T360" s="468"/>
      <c r="U360" s="468"/>
      <c r="V360" s="468"/>
      <c r="W360" s="468"/>
      <c r="X360" s="468"/>
      <c r="Y360" s="468"/>
      <c r="Z360" s="468"/>
      <c r="AA360" s="469"/>
    </row>
    <row r="361" spans="17:27" ht="12" customHeight="1" thickBot="1" x14ac:dyDescent="0.25">
      <c r="Q361" s="173" t="s">
        <v>103</v>
      </c>
      <c r="R361" s="205" t="s">
        <v>235</v>
      </c>
      <c r="S361" s="205" t="s">
        <v>236</v>
      </c>
      <c r="T361" s="174" t="s">
        <v>237</v>
      </c>
      <c r="U361" s="174" t="s">
        <v>238</v>
      </c>
      <c r="V361" s="174" t="s">
        <v>239</v>
      </c>
      <c r="W361" s="174" t="s">
        <v>240</v>
      </c>
      <c r="X361" s="174" t="s">
        <v>241</v>
      </c>
      <c r="Y361" s="174" t="s">
        <v>242</v>
      </c>
      <c r="Z361" s="174" t="s">
        <v>234</v>
      </c>
      <c r="AA361" s="174" t="s">
        <v>179</v>
      </c>
    </row>
    <row r="362" spans="17:27" ht="12" customHeight="1" x14ac:dyDescent="0.2">
      <c r="Q362" s="137" t="s">
        <v>458</v>
      </c>
      <c r="R362" s="138">
        <v>100</v>
      </c>
      <c r="S362" s="138">
        <v>100</v>
      </c>
      <c r="T362" s="138">
        <v>128</v>
      </c>
      <c r="U362" s="244">
        <v>0</v>
      </c>
      <c r="V362" s="138">
        <v>150</v>
      </c>
      <c r="W362" s="138">
        <v>220</v>
      </c>
      <c r="X362" s="138">
        <v>120</v>
      </c>
      <c r="Y362" s="138">
        <v>0</v>
      </c>
      <c r="Z362" s="245">
        <v>80</v>
      </c>
      <c r="AA362" s="226">
        <f>SUM(R362:Z362)</f>
        <v>898</v>
      </c>
    </row>
    <row r="363" spans="17:27" ht="12" customHeight="1" x14ac:dyDescent="0.2">
      <c r="Q363" s="140" t="s">
        <v>459</v>
      </c>
      <c r="R363" s="141">
        <v>150</v>
      </c>
      <c r="S363" s="141">
        <v>150</v>
      </c>
      <c r="T363" s="141">
        <v>192</v>
      </c>
      <c r="U363" s="246">
        <v>0</v>
      </c>
      <c r="V363" s="141">
        <v>200</v>
      </c>
      <c r="W363" s="141">
        <v>245</v>
      </c>
      <c r="X363" s="141">
        <v>120</v>
      </c>
      <c r="Y363" s="141">
        <v>0</v>
      </c>
      <c r="Z363" s="247">
        <v>80</v>
      </c>
      <c r="AA363" s="139">
        <f t="shared" ref="AA363:AA366" si="22">SUM(R363:Z363)</f>
        <v>1137</v>
      </c>
    </row>
    <row r="364" spans="17:27" ht="12" customHeight="1" x14ac:dyDescent="0.2">
      <c r="Q364" s="140" t="s">
        <v>456</v>
      </c>
      <c r="R364" s="141">
        <v>200</v>
      </c>
      <c r="S364" s="141">
        <v>200</v>
      </c>
      <c r="T364" s="141">
        <v>256</v>
      </c>
      <c r="U364" s="246">
        <v>0</v>
      </c>
      <c r="V364" s="141">
        <v>250</v>
      </c>
      <c r="W364" s="141">
        <v>290</v>
      </c>
      <c r="X364" s="141">
        <v>120</v>
      </c>
      <c r="Y364" s="141">
        <v>0</v>
      </c>
      <c r="Z364" s="247">
        <v>110</v>
      </c>
      <c r="AA364" s="139">
        <f t="shared" si="22"/>
        <v>1426</v>
      </c>
    </row>
    <row r="365" spans="17:27" ht="12" customHeight="1" x14ac:dyDescent="0.2">
      <c r="Q365" s="140" t="s">
        <v>457</v>
      </c>
      <c r="R365" s="141">
        <v>150</v>
      </c>
      <c r="S365" s="141">
        <v>150</v>
      </c>
      <c r="T365" s="141">
        <v>192</v>
      </c>
      <c r="U365" s="246">
        <v>0</v>
      </c>
      <c r="V365" s="141">
        <v>250</v>
      </c>
      <c r="W365" s="141">
        <v>290</v>
      </c>
      <c r="X365" s="141">
        <v>120</v>
      </c>
      <c r="Y365" s="141">
        <v>0</v>
      </c>
      <c r="Z365" s="247">
        <v>110</v>
      </c>
      <c r="AA365" s="139">
        <f t="shared" si="22"/>
        <v>1262</v>
      </c>
    </row>
    <row r="366" spans="17:27" ht="12" customHeight="1" x14ac:dyDescent="0.2">
      <c r="Q366" s="140" t="s">
        <v>108</v>
      </c>
      <c r="R366" s="141">
        <v>150</v>
      </c>
      <c r="S366" s="141">
        <v>150</v>
      </c>
      <c r="T366" s="141">
        <v>192</v>
      </c>
      <c r="U366" s="246">
        <v>0</v>
      </c>
      <c r="V366" s="141">
        <v>250</v>
      </c>
      <c r="W366" s="141">
        <v>360</v>
      </c>
      <c r="X366" s="141">
        <v>120</v>
      </c>
      <c r="Y366" s="141">
        <v>0</v>
      </c>
      <c r="Z366" s="247">
        <v>140</v>
      </c>
      <c r="AA366" s="139">
        <f t="shared" si="22"/>
        <v>1362</v>
      </c>
    </row>
    <row r="367" spans="17:27" ht="12" customHeight="1" thickBot="1" x14ac:dyDescent="0.25">
      <c r="Q367" s="142" t="s">
        <v>109</v>
      </c>
      <c r="R367" s="249">
        <v>200</v>
      </c>
      <c r="S367" s="249">
        <v>200</v>
      </c>
      <c r="T367" s="249">
        <v>256</v>
      </c>
      <c r="U367" s="250">
        <v>0</v>
      </c>
      <c r="V367" s="249">
        <v>350</v>
      </c>
      <c r="W367" s="249">
        <v>540</v>
      </c>
      <c r="X367" s="249">
        <v>120</v>
      </c>
      <c r="Y367" s="249">
        <v>0</v>
      </c>
      <c r="Z367" s="251">
        <v>160</v>
      </c>
      <c r="AA367" s="252">
        <f>SUM(R367:Z367)</f>
        <v>1826</v>
      </c>
    </row>
    <row r="368" spans="17:27" ht="12" customHeight="1" thickBot="1" x14ac:dyDescent="0.25">
      <c r="Q368" s="470" t="s">
        <v>110</v>
      </c>
      <c r="R368" s="471"/>
      <c r="S368" s="471"/>
      <c r="T368" s="471"/>
      <c r="U368" s="471"/>
      <c r="V368" s="471"/>
      <c r="W368" s="471"/>
      <c r="X368" s="471"/>
      <c r="Y368" s="471"/>
      <c r="Z368" s="471"/>
      <c r="AA368" s="472"/>
    </row>
    <row r="369" spans="16:21" ht="12" customHeight="1" x14ac:dyDescent="0.2"/>
    <row r="370" spans="16:21" ht="12" customHeight="1" thickBot="1" x14ac:dyDescent="0.25"/>
    <row r="371" spans="16:21" ht="12" customHeight="1" x14ac:dyDescent="0.2">
      <c r="P371" s="887" t="s">
        <v>499</v>
      </c>
      <c r="Q371" s="888"/>
      <c r="R371" s="888"/>
      <c r="S371" s="888"/>
      <c r="T371" s="889"/>
    </row>
    <row r="372" spans="16:21" ht="12" customHeight="1" thickBot="1" x14ac:dyDescent="0.25">
      <c r="P372" s="890"/>
      <c r="Q372" s="891"/>
      <c r="R372" s="891"/>
      <c r="S372" s="891"/>
      <c r="T372" s="892"/>
    </row>
    <row r="373" spans="16:21" ht="12" customHeight="1" x14ac:dyDescent="0.2">
      <c r="P373" s="310"/>
      <c r="Q373" s="96"/>
      <c r="R373" s="473" t="s">
        <v>33</v>
      </c>
      <c r="S373" s="474"/>
      <c r="T373" s="311"/>
    </row>
    <row r="374" spans="16:21" ht="12" customHeight="1" thickBot="1" x14ac:dyDescent="0.25">
      <c r="P374" s="312" t="s">
        <v>121</v>
      </c>
      <c r="Q374" s="99"/>
      <c r="R374" s="100" t="s">
        <v>122</v>
      </c>
      <c r="S374" s="100" t="s">
        <v>38</v>
      </c>
      <c r="T374" s="313" t="s">
        <v>123</v>
      </c>
    </row>
    <row r="375" spans="16:21" ht="12" customHeight="1" x14ac:dyDescent="0.2">
      <c r="P375" s="435" t="s">
        <v>500</v>
      </c>
      <c r="Q375" s="416" t="s">
        <v>650</v>
      </c>
      <c r="R375" s="284">
        <v>1</v>
      </c>
      <c r="S375" s="167">
        <f>IF($G$15&lt;=450,R383,(IF($G$15&lt;=600,R384,(IF($G$15&lt;=750,R385,(IF($G$15&lt;=1000,R386,(IF($G$15&lt;=1500,R387,(IF($G$15&gt;1500,R388)))))))))))</f>
        <v>1300</v>
      </c>
      <c r="T375" s="315">
        <f>R375*S375</f>
        <v>1300</v>
      </c>
    </row>
    <row r="376" spans="16:21" ht="12" customHeight="1" x14ac:dyDescent="0.2">
      <c r="P376" s="435" t="s">
        <v>501</v>
      </c>
      <c r="Q376" s="416" t="s">
        <v>659</v>
      </c>
      <c r="R376" s="146">
        <v>1</v>
      </c>
      <c r="S376" s="167">
        <f>IF($G$15&lt;=450,S383,(IF($G$15&lt;=600,S384,(IF($G$15&lt;=750,S385,(IF($G$15&lt;=1000,S386,(IF($G$15&lt;=1500,S387,(IF($G$15&gt;1500,S388)))))))))))</f>
        <v>0</v>
      </c>
      <c r="T376" s="315">
        <f>R376*S376</f>
        <v>0</v>
      </c>
    </row>
    <row r="377" spans="16:21" ht="12" customHeight="1" x14ac:dyDescent="0.2">
      <c r="P377" s="435" t="s">
        <v>502</v>
      </c>
      <c r="Q377" s="49" t="s">
        <v>655</v>
      </c>
      <c r="R377" s="187">
        <v>1</v>
      </c>
      <c r="S377" s="106">
        <f>IF($G$15&lt;=450,T383,(IF($G$15&lt;=600,T384,(IF($G$15&lt;=750,T385,(IF($G$15&lt;=1000,T386,(IF($G$15&lt;=1500,T387,(IF($G$15&gt;1500,T388)))))))))))</f>
        <v>150</v>
      </c>
      <c r="T377" s="316">
        <f>R377*S377</f>
        <v>150</v>
      </c>
    </row>
    <row r="378" spans="16:21" ht="12" customHeight="1" x14ac:dyDescent="0.2">
      <c r="P378" s="317"/>
      <c r="Q378" s="22"/>
      <c r="R378" s="80"/>
      <c r="S378" s="80"/>
      <c r="T378" s="318"/>
    </row>
    <row r="379" spans="16:21" ht="12" customHeight="1" thickBot="1" x14ac:dyDescent="0.25">
      <c r="P379" s="379" t="s">
        <v>660</v>
      </c>
      <c r="Q379" s="320"/>
      <c r="R379" s="321"/>
      <c r="S379" s="321"/>
      <c r="T379" s="322">
        <f>SUM(T375:T377)</f>
        <v>1450</v>
      </c>
    </row>
    <row r="380" spans="16:21" ht="12" customHeight="1" thickBot="1" x14ac:dyDescent="0.25"/>
    <row r="381" spans="16:21" ht="12" customHeight="1" thickBot="1" x14ac:dyDescent="0.25">
      <c r="Q381" s="945" t="s">
        <v>102</v>
      </c>
      <c r="R381" s="946"/>
      <c r="S381" s="946"/>
      <c r="T381" s="946"/>
      <c r="U381" s="947"/>
    </row>
    <row r="382" spans="16:21" ht="12" customHeight="1" thickBot="1" x14ac:dyDescent="0.25">
      <c r="Q382" s="134" t="s">
        <v>103</v>
      </c>
      <c r="R382" s="135" t="s">
        <v>500</v>
      </c>
      <c r="S382" s="135" t="s">
        <v>501</v>
      </c>
      <c r="T382" s="135" t="s">
        <v>502</v>
      </c>
      <c r="U382" s="136" t="s">
        <v>179</v>
      </c>
    </row>
    <row r="383" spans="16:21" ht="12" customHeight="1" x14ac:dyDescent="0.2">
      <c r="Q383" s="137" t="s">
        <v>458</v>
      </c>
      <c r="R383" s="138">
        <v>1300</v>
      </c>
      <c r="S383" s="138">
        <v>0</v>
      </c>
      <c r="T383" s="138">
        <v>150</v>
      </c>
      <c r="U383" s="139">
        <f>SUM(R383:T383)</f>
        <v>1450</v>
      </c>
    </row>
    <row r="384" spans="16:21" ht="12" customHeight="1" x14ac:dyDescent="0.2">
      <c r="Q384" s="140" t="s">
        <v>459</v>
      </c>
      <c r="R384" s="141">
        <v>1300</v>
      </c>
      <c r="S384" s="141">
        <v>0</v>
      </c>
      <c r="T384" s="141">
        <v>150</v>
      </c>
      <c r="U384" s="139">
        <f t="shared" ref="U384:U388" si="23">SUM(R384:T384)</f>
        <v>1450</v>
      </c>
    </row>
    <row r="385" spans="16:21" ht="12" customHeight="1" x14ac:dyDescent="0.2">
      <c r="Q385" s="140" t="s">
        <v>456</v>
      </c>
      <c r="R385" s="141">
        <v>1300</v>
      </c>
      <c r="S385" s="141">
        <v>1300</v>
      </c>
      <c r="T385" s="141">
        <v>150</v>
      </c>
      <c r="U385" s="139">
        <f t="shared" si="23"/>
        <v>2750</v>
      </c>
    </row>
    <row r="386" spans="16:21" ht="12" customHeight="1" x14ac:dyDescent="0.2">
      <c r="Q386" s="140" t="s">
        <v>457</v>
      </c>
      <c r="R386" s="141">
        <v>2600</v>
      </c>
      <c r="S386" s="141">
        <v>1300</v>
      </c>
      <c r="T386" s="141">
        <v>150</v>
      </c>
      <c r="U386" s="139">
        <f t="shared" si="23"/>
        <v>4050</v>
      </c>
    </row>
    <row r="387" spans="16:21" ht="12" customHeight="1" x14ac:dyDescent="0.2">
      <c r="Q387" s="140" t="s">
        <v>108</v>
      </c>
      <c r="R387" s="141">
        <v>2600</v>
      </c>
      <c r="S387" s="141">
        <v>1300</v>
      </c>
      <c r="T387" s="141">
        <v>300</v>
      </c>
      <c r="U387" s="139">
        <f t="shared" si="23"/>
        <v>4200</v>
      </c>
    </row>
    <row r="388" spans="16:21" ht="12" customHeight="1" thickBot="1" x14ac:dyDescent="0.25">
      <c r="Q388" s="142" t="s">
        <v>109</v>
      </c>
      <c r="R388" s="143">
        <v>2600</v>
      </c>
      <c r="S388" s="143">
        <v>2600</v>
      </c>
      <c r="T388" s="143">
        <v>400</v>
      </c>
      <c r="U388" s="139">
        <f t="shared" si="23"/>
        <v>5600</v>
      </c>
    </row>
    <row r="389" spans="16:21" ht="12" customHeight="1" thickBot="1" x14ac:dyDescent="0.25">
      <c r="Q389" s="948" t="s">
        <v>110</v>
      </c>
      <c r="R389" s="949"/>
      <c r="S389" s="949"/>
      <c r="T389" s="949"/>
      <c r="U389" s="950"/>
    </row>
    <row r="390" spans="16:21" ht="12" customHeight="1" x14ac:dyDescent="0.2"/>
    <row r="391" spans="16:21" ht="12" customHeight="1" thickBot="1" x14ac:dyDescent="0.25"/>
    <row r="392" spans="16:21" ht="12" customHeight="1" x14ac:dyDescent="0.2">
      <c r="P392" s="970" t="s">
        <v>503</v>
      </c>
      <c r="Q392" s="951"/>
      <c r="R392" s="951"/>
      <c r="S392" s="951"/>
      <c r="T392" s="971"/>
    </row>
    <row r="393" spans="16:21" ht="12" customHeight="1" thickBot="1" x14ac:dyDescent="0.25">
      <c r="P393" s="972"/>
      <c r="Q393" s="891"/>
      <c r="R393" s="891"/>
      <c r="S393" s="891"/>
      <c r="T393" s="973"/>
    </row>
    <row r="394" spans="16:21" ht="12" customHeight="1" x14ac:dyDescent="0.2">
      <c r="P394" s="182"/>
      <c r="Q394" s="96"/>
      <c r="R394" s="473" t="s">
        <v>33</v>
      </c>
      <c r="S394" s="474"/>
      <c r="T394" s="475"/>
    </row>
    <row r="395" spans="16:21" ht="12" customHeight="1" thickBot="1" x14ac:dyDescent="0.25">
      <c r="P395" s="183" t="s">
        <v>121</v>
      </c>
      <c r="Q395" s="99"/>
      <c r="R395" s="100" t="s">
        <v>122</v>
      </c>
      <c r="S395" s="100" t="s">
        <v>38</v>
      </c>
      <c r="T395" s="99" t="s">
        <v>123</v>
      </c>
    </row>
    <row r="396" spans="16:21" ht="12" customHeight="1" x14ac:dyDescent="0.2">
      <c r="P396" s="21" t="s">
        <v>504</v>
      </c>
      <c r="Q396" s="22" t="s">
        <v>506</v>
      </c>
      <c r="R396" s="284">
        <v>1</v>
      </c>
      <c r="S396" s="167">
        <f>IF($G$15&lt;=450,R404,(IF($G$15&lt;=600,R405,(IF($G$15&lt;=750,R406,(IF($G$15&lt;=1000,R407,(IF($G$15&lt;=1500,R408,(IF($G$15&gt;1500,R409)))))))))))</f>
        <v>1100</v>
      </c>
      <c r="T396" s="104">
        <f>R396*S396</f>
        <v>1100</v>
      </c>
    </row>
    <row r="397" spans="16:21" ht="12" customHeight="1" x14ac:dyDescent="0.2">
      <c r="P397" s="21" t="s">
        <v>505</v>
      </c>
      <c r="Q397" s="22" t="s">
        <v>507</v>
      </c>
      <c r="R397" s="146">
        <v>1</v>
      </c>
      <c r="S397" s="106">
        <f>IF($G$15&lt;=450,S404,(IF($G$15&lt;=600,S405,(IF($G$15&lt;=750,S406,(IF($G$15&lt;=1000,S407,(IF($G$15&lt;=1500,S408,(IF($G$15&gt;1500,S409)))))))))))</f>
        <v>0</v>
      </c>
      <c r="T397" s="112">
        <f>R397*S397</f>
        <v>0</v>
      </c>
    </row>
    <row r="398" spans="16:21" ht="12" customHeight="1" x14ac:dyDescent="0.2">
      <c r="P398" s="48"/>
      <c r="Q398" s="22"/>
      <c r="R398" s="80"/>
      <c r="S398" s="80"/>
      <c r="T398" s="73"/>
    </row>
    <row r="399" spans="16:21" ht="12" customHeight="1" thickBot="1" x14ac:dyDescent="0.25">
      <c r="P399" s="44" t="s">
        <v>346</v>
      </c>
      <c r="Q399" s="45"/>
      <c r="R399" s="184"/>
      <c r="S399" s="184"/>
      <c r="T399" s="185">
        <f>SUM(T396:T397)</f>
        <v>1100</v>
      </c>
    </row>
    <row r="400" spans="16:21" ht="12" customHeight="1" x14ac:dyDescent="0.2"/>
    <row r="401" spans="17:20" ht="12" customHeight="1" thickBot="1" x14ac:dyDescent="0.25"/>
    <row r="402" spans="17:20" ht="12" customHeight="1" thickBot="1" x14ac:dyDescent="0.25">
      <c r="Q402" s="945" t="s">
        <v>102</v>
      </c>
      <c r="R402" s="946"/>
      <c r="S402" s="946"/>
      <c r="T402" s="947"/>
    </row>
    <row r="403" spans="17:20" ht="12" customHeight="1" thickBot="1" x14ac:dyDescent="0.25">
      <c r="Q403" s="134" t="s">
        <v>103</v>
      </c>
      <c r="R403" s="135" t="s">
        <v>504</v>
      </c>
      <c r="S403" s="135" t="s">
        <v>505</v>
      </c>
      <c r="T403" s="136" t="s">
        <v>179</v>
      </c>
    </row>
    <row r="404" spans="17:20" ht="12" customHeight="1" x14ac:dyDescent="0.2">
      <c r="Q404" s="137" t="s">
        <v>458</v>
      </c>
      <c r="R404" s="138">
        <v>1100</v>
      </c>
      <c r="S404" s="138">
        <v>0</v>
      </c>
      <c r="T404" s="139">
        <f>SUM(R404:S404)</f>
        <v>1100</v>
      </c>
    </row>
    <row r="405" spans="17:20" ht="12" customHeight="1" x14ac:dyDescent="0.2">
      <c r="Q405" s="140" t="s">
        <v>459</v>
      </c>
      <c r="R405" s="141">
        <v>1100</v>
      </c>
      <c r="S405" s="141">
        <v>100</v>
      </c>
      <c r="T405" s="139">
        <f t="shared" ref="T405:T409" si="24">SUM(R405:S405)</f>
        <v>1200</v>
      </c>
    </row>
    <row r="406" spans="17:20" ht="12" customHeight="1" x14ac:dyDescent="0.2">
      <c r="Q406" s="140" t="s">
        <v>456</v>
      </c>
      <c r="R406" s="141">
        <v>1100</v>
      </c>
      <c r="S406" s="141">
        <v>100</v>
      </c>
      <c r="T406" s="139">
        <f t="shared" si="24"/>
        <v>1200</v>
      </c>
    </row>
    <row r="407" spans="17:20" ht="12" customHeight="1" x14ac:dyDescent="0.2">
      <c r="Q407" s="140" t="s">
        <v>457</v>
      </c>
      <c r="R407" s="141">
        <v>1100</v>
      </c>
      <c r="S407" s="141">
        <v>100</v>
      </c>
      <c r="T407" s="139">
        <f t="shared" si="24"/>
        <v>1200</v>
      </c>
    </row>
    <row r="408" spans="17:20" ht="12" customHeight="1" x14ac:dyDescent="0.2">
      <c r="Q408" s="140" t="s">
        <v>108</v>
      </c>
      <c r="R408" s="141">
        <v>2200</v>
      </c>
      <c r="S408" s="141">
        <v>200</v>
      </c>
      <c r="T408" s="139">
        <f t="shared" si="24"/>
        <v>2400</v>
      </c>
    </row>
    <row r="409" spans="17:20" ht="12" customHeight="1" thickBot="1" x14ac:dyDescent="0.25">
      <c r="Q409" s="142" t="s">
        <v>109</v>
      </c>
      <c r="R409" s="143">
        <v>2200</v>
      </c>
      <c r="S409" s="143">
        <v>200</v>
      </c>
      <c r="T409" s="139">
        <f t="shared" si="24"/>
        <v>2400</v>
      </c>
    </row>
    <row r="410" spans="17:20" ht="12" customHeight="1" thickBot="1" x14ac:dyDescent="0.25">
      <c r="Q410" s="948" t="s">
        <v>110</v>
      </c>
      <c r="R410" s="949"/>
      <c r="S410" s="949"/>
      <c r="T410" s="950"/>
    </row>
    <row r="411" spans="17:20" ht="12" customHeight="1" x14ac:dyDescent="0.2"/>
    <row r="412" spans="17:20" ht="12" customHeight="1" x14ac:dyDescent="0.2"/>
    <row r="413" spans="17:20" ht="12" customHeight="1" x14ac:dyDescent="0.2"/>
    <row r="414" spans="17:20" ht="12" customHeight="1" x14ac:dyDescent="0.2"/>
    <row r="415" spans="17:20" ht="12" customHeight="1" x14ac:dyDescent="0.2"/>
    <row r="416" spans="17:20"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75" customHeight="1" x14ac:dyDescent="0.2"/>
    <row r="481" ht="12.75" customHeight="1" x14ac:dyDescent="0.2"/>
    <row r="482" ht="12.75" customHeight="1" x14ac:dyDescent="0.2"/>
    <row r="483" ht="12.75" customHeight="1" x14ac:dyDescent="0.2"/>
  </sheetData>
  <sheetProtection password="D821" sheet="1" objects="1" scenarios="1" selectLockedCells="1"/>
  <mergeCells count="97">
    <mergeCell ref="P9:T10"/>
    <mergeCell ref="A4:M8"/>
    <mergeCell ref="C11:H12"/>
    <mergeCell ref="K11:M12"/>
    <mergeCell ref="G14:H14"/>
    <mergeCell ref="K14:M14"/>
    <mergeCell ref="K24:M24"/>
    <mergeCell ref="G15:H15"/>
    <mergeCell ref="K15:M15"/>
    <mergeCell ref="G16:H16"/>
    <mergeCell ref="K16:M16"/>
    <mergeCell ref="G17:H17"/>
    <mergeCell ref="K17:M17"/>
    <mergeCell ref="G18:H18"/>
    <mergeCell ref="G19:H19"/>
    <mergeCell ref="K21:M21"/>
    <mergeCell ref="K22:M22"/>
    <mergeCell ref="K23:M23"/>
    <mergeCell ref="Q32:AB32"/>
    <mergeCell ref="G26:H26"/>
    <mergeCell ref="K26:M26"/>
    <mergeCell ref="G27:H27"/>
    <mergeCell ref="K27:M27"/>
    <mergeCell ref="G28:H28"/>
    <mergeCell ref="K28:M28"/>
    <mergeCell ref="P26:V26"/>
    <mergeCell ref="C31:L31"/>
    <mergeCell ref="C32:L32"/>
    <mergeCell ref="C33:M35"/>
    <mergeCell ref="C36:L36"/>
    <mergeCell ref="C37:M37"/>
    <mergeCell ref="C38:L38"/>
    <mergeCell ref="C41:G42"/>
    <mergeCell ref="P57:V57"/>
    <mergeCell ref="Q40:AB40"/>
    <mergeCell ref="Q71:W71"/>
    <mergeCell ref="C67:M67"/>
    <mergeCell ref="C68:M68"/>
    <mergeCell ref="C69:M69"/>
    <mergeCell ref="C70:M70"/>
    <mergeCell ref="C71:M71"/>
    <mergeCell ref="Q168:U168"/>
    <mergeCell ref="Q106:R106"/>
    <mergeCell ref="Q139:U139"/>
    <mergeCell ref="Q147:U147"/>
    <mergeCell ref="C77:M77"/>
    <mergeCell ref="Q79:W79"/>
    <mergeCell ref="P93:V93"/>
    <mergeCell ref="Q98:R98"/>
    <mergeCell ref="A1:M1"/>
    <mergeCell ref="P82:T83"/>
    <mergeCell ref="Q108:X108"/>
    <mergeCell ref="Q116:X116"/>
    <mergeCell ref="P119:T120"/>
    <mergeCell ref="C73:M73"/>
    <mergeCell ref="C74:M74"/>
    <mergeCell ref="C78:M78"/>
    <mergeCell ref="C79:M79"/>
    <mergeCell ref="C80:M80"/>
    <mergeCell ref="C81:M81"/>
    <mergeCell ref="C21:F21"/>
    <mergeCell ref="C72:M72"/>
    <mergeCell ref="C75:M75"/>
    <mergeCell ref="C76:M76"/>
    <mergeCell ref="P45:T46"/>
    <mergeCell ref="Q402:T402"/>
    <mergeCell ref="Q410:T410"/>
    <mergeCell ref="Q220:Y220"/>
    <mergeCell ref="Q228:Y228"/>
    <mergeCell ref="Q317:T317"/>
    <mergeCell ref="Q325:T325"/>
    <mergeCell ref="P328:T329"/>
    <mergeCell ref="P347:X347"/>
    <mergeCell ref="Q358:T358"/>
    <mergeCell ref="P371:T372"/>
    <mergeCell ref="P232:T233"/>
    <mergeCell ref="P244:V244"/>
    <mergeCell ref="Q259:W259"/>
    <mergeCell ref="Q267:W267"/>
    <mergeCell ref="Q381:U381"/>
    <mergeCell ref="P308:T309"/>
    <mergeCell ref="C22:F22"/>
    <mergeCell ref="C23:F23"/>
    <mergeCell ref="C24:F24"/>
    <mergeCell ref="Q389:U389"/>
    <mergeCell ref="P392:T393"/>
    <mergeCell ref="Q295:V295"/>
    <mergeCell ref="Q305:T305"/>
    <mergeCell ref="Q297:T297"/>
    <mergeCell ref="P271:T272"/>
    <mergeCell ref="Q287:V287"/>
    <mergeCell ref="P206:T207"/>
    <mergeCell ref="P172:T173"/>
    <mergeCell ref="Q194:AG194"/>
    <mergeCell ref="Q202:AG202"/>
    <mergeCell ref="P150:T151"/>
    <mergeCell ref="Q160:U160"/>
  </mergeCells>
  <pageMargins left="1" right="0.5" top="1" bottom="0.37" header="0.5" footer="0.25"/>
  <pageSetup scale="6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145" r:id="rId4" name="Option Button 1">
              <controlPr defaultSize="0" autoFill="0" autoLine="0" autoPict="0">
                <anchor moveWithCells="1">
                  <from>
                    <xdr:col>3</xdr:col>
                    <xdr:colOff>809625</xdr:colOff>
                    <xdr:row>16</xdr:row>
                    <xdr:rowOff>123825</xdr:rowOff>
                  </from>
                  <to>
                    <xdr:col>3</xdr:col>
                    <xdr:colOff>1981200</xdr:colOff>
                    <xdr:row>18</xdr:row>
                    <xdr:rowOff>28575</xdr:rowOff>
                  </to>
                </anchor>
              </controlPr>
            </control>
          </mc:Choice>
        </mc:AlternateContent>
        <mc:AlternateContent xmlns:mc="http://schemas.openxmlformats.org/markup-compatibility/2006">
          <mc:Choice Requires="x14">
            <control shapeId="6146" r:id="rId5" name="Option Button 2">
              <controlPr defaultSize="0" autoFill="0" autoLine="0" autoPict="0">
                <anchor moveWithCells="1">
                  <from>
                    <xdr:col>3</xdr:col>
                    <xdr:colOff>2047875</xdr:colOff>
                    <xdr:row>16</xdr:row>
                    <xdr:rowOff>114300</xdr:rowOff>
                  </from>
                  <to>
                    <xdr:col>5</xdr:col>
                    <xdr:colOff>295275</xdr:colOff>
                    <xdr:row>18</xdr:row>
                    <xdr:rowOff>28575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ransitionEvaluation="1" enableFormatConditionsCalculation="0">
    <tabColor indexed="43"/>
  </sheetPr>
  <dimension ref="A1:BF483"/>
  <sheetViews>
    <sheetView defaultGridColor="0" colorId="22" zoomScale="118" zoomScaleNormal="118" zoomScalePageLayoutView="118" workbookViewId="0">
      <selection activeCell="G14" sqref="G14:H14"/>
    </sheetView>
  </sheetViews>
  <sheetFormatPr defaultColWidth="8.85546875" defaultRowHeight="12.75" x14ac:dyDescent="0.2"/>
  <cols>
    <col min="1" max="1" width="8.7109375" style="1" customWidth="1"/>
    <col min="2" max="2" width="1.140625" style="1" customWidth="1"/>
    <col min="3" max="3" width="10.42578125" style="1" customWidth="1"/>
    <col min="4" max="4" width="31.85546875" style="1" customWidth="1"/>
    <col min="5" max="6" width="10.28515625" style="1" customWidth="1"/>
    <col min="7" max="7" width="10" style="1" customWidth="1"/>
    <col min="8" max="8" width="18.42578125" style="1" customWidth="1"/>
    <col min="9" max="9" width="10.28515625" style="1" customWidth="1"/>
    <col min="10" max="11" width="8.85546875" style="1"/>
    <col min="12" max="12" width="9.7109375" style="1" bestFit="1" customWidth="1"/>
    <col min="13" max="14" width="8.85546875" style="1"/>
    <col min="15" max="16" width="8.85546875" style="1" hidden="1" customWidth="1"/>
    <col min="17" max="17" width="26.42578125" style="1" hidden="1" customWidth="1"/>
    <col min="18" max="35" width="11.28515625" style="1" hidden="1" customWidth="1"/>
    <col min="36" max="36" width="34" style="1" hidden="1" customWidth="1"/>
    <col min="37" max="53" width="11.28515625" style="1" hidden="1" customWidth="1"/>
    <col min="54" max="58" width="8.85546875" style="1" hidden="1" customWidth="1"/>
    <col min="59" max="76" width="8.85546875" style="1" customWidth="1"/>
    <col min="77" max="16384" width="8.85546875" style="1"/>
  </cols>
  <sheetData>
    <row r="1" spans="1:56" ht="12" customHeight="1" x14ac:dyDescent="0.2">
      <c r="A1" s="886" t="s">
        <v>430</v>
      </c>
      <c r="B1" s="886"/>
      <c r="C1" s="886"/>
      <c r="D1" s="886"/>
      <c r="E1" s="886"/>
      <c r="F1" s="886"/>
      <c r="G1" s="886"/>
      <c r="H1" s="886"/>
      <c r="I1" s="886"/>
      <c r="J1" s="886"/>
      <c r="K1" s="886"/>
      <c r="L1" s="886"/>
      <c r="M1" s="886"/>
      <c r="N1" s="2"/>
      <c r="O1" s="2"/>
      <c r="P1" s="2"/>
      <c r="Q1" s="2"/>
      <c r="R1" s="2"/>
      <c r="S1" s="2"/>
      <c r="T1" s="2"/>
      <c r="U1" s="2"/>
      <c r="V1" s="2"/>
      <c r="W1" s="2"/>
      <c r="X1" s="2"/>
      <c r="Y1" s="2"/>
      <c r="Z1" s="2"/>
      <c r="AA1" s="2"/>
      <c r="AB1" s="2"/>
      <c r="AC1" s="2"/>
      <c r="AD1" s="2"/>
      <c r="AE1" s="2"/>
      <c r="AF1" s="2"/>
      <c r="AG1" s="2"/>
    </row>
    <row r="2" spans="1:56" ht="12" customHeight="1" thickBot="1" x14ac:dyDescent="0.25">
      <c r="A2" s="5" t="s">
        <v>37</v>
      </c>
      <c r="B2" s="5"/>
      <c r="C2" s="6"/>
      <c r="D2" s="7"/>
      <c r="E2" s="7"/>
      <c r="F2" s="8"/>
      <c r="G2" s="9"/>
      <c r="H2" s="6"/>
      <c r="I2" s="8"/>
      <c r="J2" s="8"/>
      <c r="K2" s="8"/>
      <c r="L2" s="8"/>
      <c r="M2" s="10" t="s">
        <v>44</v>
      </c>
      <c r="N2" s="2"/>
      <c r="O2" s="2"/>
      <c r="P2" s="275"/>
      <c r="Q2" s="274"/>
      <c r="R2" s="274"/>
      <c r="S2" s="274"/>
      <c r="T2" s="274"/>
      <c r="W2" s="2"/>
      <c r="X2" s="2"/>
      <c r="Y2" s="2"/>
      <c r="Z2" s="2"/>
      <c r="AA2" s="18"/>
    </row>
    <row r="3" spans="1:56" ht="12" customHeight="1" thickBot="1" x14ac:dyDescent="0.25">
      <c r="A3" s="11"/>
      <c r="B3" s="11"/>
      <c r="C3" s="12"/>
      <c r="D3" s="15"/>
      <c r="E3" s="15"/>
      <c r="F3" s="12"/>
      <c r="G3" s="273"/>
      <c r="H3" s="12"/>
      <c r="I3" s="12"/>
      <c r="J3" s="12"/>
      <c r="K3" s="12"/>
      <c r="L3" s="12"/>
      <c r="M3" s="273"/>
      <c r="N3" s="2"/>
      <c r="O3" s="2"/>
      <c r="P3" s="275"/>
      <c r="Q3" s="274"/>
      <c r="R3" s="274"/>
      <c r="S3" s="274"/>
      <c r="T3" s="274"/>
      <c r="W3" s="2"/>
      <c r="X3" s="2"/>
      <c r="Y3" s="2"/>
      <c r="Z3" s="2"/>
      <c r="AA3" s="18"/>
    </row>
    <row r="4" spans="1:56" ht="12" customHeight="1" thickBot="1" x14ac:dyDescent="0.25">
      <c r="A4" s="893" t="s">
        <v>425</v>
      </c>
      <c r="B4" s="893"/>
      <c r="C4" s="893"/>
      <c r="D4" s="893"/>
      <c r="E4" s="893"/>
      <c r="F4" s="893"/>
      <c r="G4" s="893"/>
      <c r="H4" s="893"/>
      <c r="I4" s="893"/>
      <c r="J4" s="893"/>
      <c r="K4" s="893"/>
      <c r="L4" s="893"/>
      <c r="M4" s="893"/>
      <c r="N4" s="2"/>
      <c r="O4" s="2"/>
      <c r="P4" s="970" t="s">
        <v>738</v>
      </c>
      <c r="Q4" s="951"/>
      <c r="R4" s="951"/>
      <c r="S4" s="951"/>
      <c r="T4" s="971"/>
      <c r="W4" s="2"/>
      <c r="X4" s="2"/>
      <c r="Y4" s="2"/>
      <c r="Z4" s="2"/>
      <c r="AA4" s="18"/>
      <c r="AI4" s="736"/>
      <c r="AJ4" s="737"/>
      <c r="AK4" s="738">
        <v>450</v>
      </c>
      <c r="AL4" s="738">
        <v>800</v>
      </c>
      <c r="AM4" s="738">
        <v>1200</v>
      </c>
      <c r="AN4" s="738">
        <v>1600</v>
      </c>
      <c r="AO4" s="739">
        <v>2400</v>
      </c>
    </row>
    <row r="5" spans="1:56" ht="12" customHeight="1" thickBot="1" x14ac:dyDescent="0.25">
      <c r="A5" s="893"/>
      <c r="B5" s="893"/>
      <c r="C5" s="893"/>
      <c r="D5" s="893"/>
      <c r="E5" s="893"/>
      <c r="F5" s="893"/>
      <c r="G5" s="893"/>
      <c r="H5" s="893"/>
      <c r="I5" s="893"/>
      <c r="J5" s="893"/>
      <c r="K5" s="893"/>
      <c r="L5" s="893"/>
      <c r="M5" s="893"/>
      <c r="N5" s="2"/>
      <c r="O5" s="2"/>
      <c r="P5" s="972"/>
      <c r="Q5" s="891"/>
      <c r="R5" s="891"/>
      <c r="S5" s="891"/>
      <c r="T5" s="973"/>
      <c r="W5" s="2"/>
      <c r="X5" s="2"/>
      <c r="Y5" s="2"/>
      <c r="Z5" s="2"/>
      <c r="AA5" s="18"/>
      <c r="AI5" s="740"/>
      <c r="AJ5" s="741"/>
      <c r="AK5" s="742" t="s">
        <v>38</v>
      </c>
      <c r="AL5" s="742" t="s">
        <v>38</v>
      </c>
      <c r="AM5" s="742" t="s">
        <v>38</v>
      </c>
      <c r="AN5" s="742" t="s">
        <v>38</v>
      </c>
      <c r="AO5" s="742" t="s">
        <v>38</v>
      </c>
    </row>
    <row r="6" spans="1:56" ht="12" customHeight="1" x14ac:dyDescent="0.2">
      <c r="A6" s="893"/>
      <c r="B6" s="893"/>
      <c r="C6" s="893"/>
      <c r="D6" s="893"/>
      <c r="E6" s="893"/>
      <c r="F6" s="893"/>
      <c r="G6" s="893"/>
      <c r="H6" s="893"/>
      <c r="I6" s="893"/>
      <c r="J6" s="893"/>
      <c r="K6" s="893"/>
      <c r="L6" s="893"/>
      <c r="M6" s="893"/>
      <c r="N6" s="2"/>
      <c r="O6" s="2"/>
      <c r="P6" s="95"/>
      <c r="Q6" s="96"/>
      <c r="R6" s="97" t="s">
        <v>33</v>
      </c>
      <c r="S6" s="97"/>
      <c r="T6" s="97"/>
      <c r="W6" s="2"/>
      <c r="X6" s="2"/>
      <c r="Y6" s="2"/>
      <c r="Z6" s="2"/>
      <c r="AA6" s="18"/>
      <c r="AI6" s="743" t="s">
        <v>908</v>
      </c>
      <c r="AJ6" s="744"/>
      <c r="AK6" s="744"/>
      <c r="AL6" s="744"/>
      <c r="AM6" s="744"/>
      <c r="AN6" s="744"/>
      <c r="AO6" s="745"/>
    </row>
    <row r="7" spans="1:56" ht="12" customHeight="1" thickBot="1" x14ac:dyDescent="0.25">
      <c r="A7" s="893"/>
      <c r="B7" s="893"/>
      <c r="C7" s="893"/>
      <c r="D7" s="893"/>
      <c r="E7" s="893"/>
      <c r="F7" s="893"/>
      <c r="G7" s="893"/>
      <c r="H7" s="893"/>
      <c r="I7" s="893"/>
      <c r="J7" s="893"/>
      <c r="K7" s="893"/>
      <c r="L7" s="893"/>
      <c r="M7" s="893"/>
      <c r="N7" s="2"/>
      <c r="O7" s="2"/>
      <c r="P7" s="98" t="s">
        <v>121</v>
      </c>
      <c r="Q7" s="99"/>
      <c r="R7" s="100" t="s">
        <v>122</v>
      </c>
      <c r="S7" s="100" t="s">
        <v>38</v>
      </c>
      <c r="T7" s="99" t="s">
        <v>123</v>
      </c>
      <c r="W7" s="2"/>
      <c r="X7" s="2"/>
      <c r="Y7" s="2"/>
      <c r="Z7" s="2"/>
      <c r="AA7" s="18"/>
      <c r="AI7" s="54" t="s">
        <v>872</v>
      </c>
      <c r="AJ7" s="22"/>
      <c r="AK7" s="746">
        <v>450</v>
      </c>
      <c r="AL7" s="746">
        <v>800</v>
      </c>
      <c r="AM7" s="746">
        <v>1200</v>
      </c>
      <c r="AN7" s="746">
        <v>1600</v>
      </c>
      <c r="AO7" s="746">
        <v>2400</v>
      </c>
    </row>
    <row r="8" spans="1:56" ht="12" customHeight="1" thickBot="1" x14ac:dyDescent="0.25">
      <c r="A8" s="893"/>
      <c r="B8" s="893"/>
      <c r="C8" s="893"/>
      <c r="D8" s="893"/>
      <c r="E8" s="893"/>
      <c r="F8" s="893"/>
      <c r="G8" s="893"/>
      <c r="H8" s="893"/>
      <c r="I8" s="893"/>
      <c r="J8" s="893"/>
      <c r="K8" s="893"/>
      <c r="L8" s="893"/>
      <c r="M8" s="893"/>
      <c r="N8" s="2"/>
      <c r="O8" s="2"/>
      <c r="P8" s="101" t="s">
        <v>553</v>
      </c>
      <c r="Q8" s="416" t="s">
        <v>562</v>
      </c>
      <c r="R8" s="288">
        <v>1</v>
      </c>
      <c r="S8" s="103">
        <f>IF($G$15&lt;=450,R34,(IF($G$15&lt;=800,R35,(IF($G$15&lt;=1200,R36,(IF($G$15&lt;=1600,R37,(IF($G$15&gt;1600,R38)))))))))</f>
        <v>50400</v>
      </c>
      <c r="T8" s="104">
        <f t="shared" ref="T8:T14" si="0">R8*S8</f>
        <v>50400</v>
      </c>
      <c r="W8" s="2"/>
      <c r="X8" s="2"/>
      <c r="Y8" s="2"/>
      <c r="Z8" s="2"/>
      <c r="AA8" s="18"/>
      <c r="AI8" s="54" t="s">
        <v>873</v>
      </c>
      <c r="AJ8" s="22"/>
      <c r="AK8" s="746">
        <f>IF(AK7="","",AK9/AK7)</f>
        <v>180</v>
      </c>
      <c r="AL8" s="747">
        <v>166</v>
      </c>
      <c r="AM8" s="748">
        <v>165</v>
      </c>
      <c r="AN8" s="748">
        <v>161.5</v>
      </c>
      <c r="AO8" s="748">
        <v>156</v>
      </c>
    </row>
    <row r="9" spans="1:56" ht="12" customHeight="1" thickBot="1" x14ac:dyDescent="0.25">
      <c r="A9" s="14"/>
      <c r="B9" s="14"/>
      <c r="C9" s="15"/>
      <c r="D9" s="16"/>
      <c r="E9" s="16"/>
      <c r="F9" s="16"/>
      <c r="G9" s="16"/>
      <c r="H9" s="16"/>
      <c r="I9" s="16"/>
      <c r="J9" s="2"/>
      <c r="K9" s="2"/>
      <c r="L9" s="2"/>
      <c r="M9" s="2"/>
      <c r="N9" s="2"/>
      <c r="O9" s="2"/>
      <c r="P9" s="105" t="s">
        <v>554</v>
      </c>
      <c r="Q9" s="49" t="s">
        <v>577</v>
      </c>
      <c r="R9" s="289">
        <v>1</v>
      </c>
      <c r="S9" s="103">
        <f>IF($G$15&lt;=450,S34,(IF($G$15&lt;=800,S35,(IF($G$15&lt;=1200,S36,(IF($G$15&lt;=1600,S37,(IF($G$15&gt;1600,S38)))))))))</f>
        <v>9600</v>
      </c>
      <c r="T9" s="104">
        <f t="shared" si="0"/>
        <v>9600</v>
      </c>
      <c r="U9" s="2"/>
      <c r="V9" s="2"/>
      <c r="W9" s="2"/>
      <c r="X9" s="2"/>
      <c r="Y9" s="2"/>
      <c r="Z9" s="2"/>
      <c r="AA9" s="18"/>
      <c r="AI9" s="614" t="s">
        <v>874</v>
      </c>
      <c r="AJ9" s="618"/>
      <c r="AK9" s="749">
        <f>IF(OR(AK7=0,AK7=""),"",IF(AK7&lt;=450,(AK7*180),(IF(AK7&gt;2399,(AK7*156),(IF(AND(AK7&gt;=451,AK7&lt;=524),(AK7*89)+40950,(IF(AND(AK7&gt;=525,AK7&lt;=799),(167*AK7),(IF(AND(AK7&gt;=800,AK7&lt;=1199),(AK7*166),(IF(AND(AK7&gt;=1200,AK7&lt;=1599),(153*AK7)+14400,(AK7*144)+28800))))))))))))</f>
        <v>81000</v>
      </c>
      <c r="AL9" s="750">
        <f>IF(OR(AL7=0,AL7=""),"",IF(AL7&lt;=450,(AL7*180),(IF(AL7&gt;2399,(AL7*156),(IF(AND(AL7&gt;=451,AL7&lt;=524),(AL7*89)+40950,(IF(AND(AL7&gt;=525,AL7&lt;=799),(167*AL7),(IF(AND(AL7&gt;=800,AL7&lt;=1199),(AL7*166),(IF(AND(AL7&gt;=1200,AL7&lt;=1599),(153*AL7)+14400,(AL7*144)+28800))))))))))))</f>
        <v>132800</v>
      </c>
      <c r="AM9" s="750">
        <f>IF(OR(AM7=0,AM7=""),"",IF(AM7&lt;=450,(AM7*180),(IF(AM7&gt;2399,(AM7*156),(IF(AND(AM7&gt;=451,AM7&lt;=524),(AM7*89)+40950,(IF(AND(AM7&gt;=525,AM7&lt;=799),(167*AM7),(IF(AND(AM7&gt;=800,AM7&lt;=1199),(AM7*166),(IF(AND(AM7&gt;=1200,AM7&lt;=1599),(153*AM7)+14400,(AM7*144)+28800))))))))))))</f>
        <v>198000</v>
      </c>
      <c r="AN9" s="749">
        <f>IF(OR(AN7=0,AN7=""),"",IF(AN7&lt;=450,(AN7*180),(IF(AN7&gt;2399,(AN7*156),(IF(AND(AN7&gt;=451,AN7&lt;=524),(AN7*89)+40950,(IF(AND(AN7&gt;=525,AN7&lt;=799),(167*AN7),(IF(AND(AN7&gt;=800,AN7&lt;=1199),(AN7*166),(IF(AND(AN7&gt;=1200,AN7&lt;=1599),(153*AN7)+14400,(AN7*144)+28800))))))))))))</f>
        <v>259200</v>
      </c>
      <c r="AO9" s="750">
        <f>IF(OR(AO7=0,AO7=""),"",IF(AO7&lt;=450,(AO7*180),(IF(AO7&gt;2399,(AO7*156),(IF(AND(AO7&gt;=451,AO7&lt;=524),(AO7*89)+40950,(IF(AND(AO7&gt;=525,AO7&lt;=799),(167*AO7),(IF(AND(AO7&gt;=800,AO7&lt;=1199),(AO7*166),(IF(AND(AO7&gt;=1200,AO7&lt;=1599),(153*AO7)+14400,(AO7*144)+28800))))))))))))</f>
        <v>374400</v>
      </c>
      <c r="AQ9" s="751">
        <v>450</v>
      </c>
      <c r="AR9" s="752">
        <v>800</v>
      </c>
      <c r="AS9" s="752">
        <v>1200</v>
      </c>
      <c r="AT9" s="752">
        <v>1600</v>
      </c>
      <c r="AU9" s="753">
        <v>2400</v>
      </c>
      <c r="AW9" s="754">
        <v>450</v>
      </c>
      <c r="AX9" s="755">
        <v>800</v>
      </c>
      <c r="AY9" s="752">
        <v>1200</v>
      </c>
      <c r="AZ9" s="752">
        <v>1600</v>
      </c>
      <c r="BA9" s="753">
        <v>2400</v>
      </c>
      <c r="BC9" s="756">
        <v>450</v>
      </c>
      <c r="BD9" s="755" t="s">
        <v>912</v>
      </c>
    </row>
    <row r="10" spans="1:56" ht="12" customHeight="1" x14ac:dyDescent="0.2">
      <c r="A10" s="2"/>
      <c r="B10" s="2"/>
      <c r="C10" s="3"/>
      <c r="D10" s="3"/>
      <c r="E10" s="276" t="s">
        <v>51</v>
      </c>
      <c r="F10" s="3"/>
      <c r="G10" s="3"/>
      <c r="H10" s="3"/>
      <c r="I10" s="2"/>
      <c r="J10" s="2"/>
      <c r="K10" s="2"/>
      <c r="L10" s="2"/>
      <c r="M10" s="2"/>
      <c r="N10" s="2"/>
      <c r="O10" s="2"/>
      <c r="P10" s="105" t="s">
        <v>555</v>
      </c>
      <c r="Q10" s="49" t="s">
        <v>578</v>
      </c>
      <c r="R10" s="289">
        <v>1</v>
      </c>
      <c r="S10" s="103">
        <f>IF($G$15&lt;=450,T34,(IF($G$15&lt;=800,T35,(IF($G$15&lt;=1200,T36,(IF($G$15&lt;=1600,T37,(IF($G$15&gt;1600,T38)))))))))</f>
        <v>9600</v>
      </c>
      <c r="T10" s="104">
        <f t="shared" si="0"/>
        <v>9600</v>
      </c>
      <c r="U10" s="2"/>
      <c r="V10" s="2"/>
      <c r="W10" s="2"/>
      <c r="X10" s="2"/>
      <c r="Y10" s="2"/>
      <c r="Z10" s="2"/>
      <c r="AA10" s="18"/>
      <c r="AI10" s="757"/>
      <c r="AJ10" s="758" t="s">
        <v>909</v>
      </c>
      <c r="AK10" s="759"/>
      <c r="AL10" s="759"/>
      <c r="AM10" s="759"/>
      <c r="AN10" s="759"/>
      <c r="AO10" s="759"/>
      <c r="AX10" s="569"/>
      <c r="BD10" s="569"/>
    </row>
    <row r="11" spans="1:56" ht="12" customHeight="1" x14ac:dyDescent="0.2">
      <c r="A11" s="2"/>
      <c r="B11" s="2"/>
      <c r="C11" s="902" t="s">
        <v>180</v>
      </c>
      <c r="D11" s="902"/>
      <c r="E11" s="902"/>
      <c r="F11" s="902"/>
      <c r="G11" s="902"/>
      <c r="H11" s="902"/>
      <c r="I11" s="2"/>
      <c r="J11" s="2"/>
      <c r="K11" s="913" t="s">
        <v>181</v>
      </c>
      <c r="L11" s="913"/>
      <c r="M11" s="913"/>
      <c r="N11" s="2"/>
      <c r="O11" s="2"/>
      <c r="P11" s="105" t="s">
        <v>556</v>
      </c>
      <c r="Q11" s="49" t="s">
        <v>579</v>
      </c>
      <c r="R11" s="289">
        <v>1</v>
      </c>
      <c r="S11" s="103">
        <f>IF($G$15&lt;=450,U34,(IF($G$15&lt;=800,U35,(IF($G$15&lt;=1200,U36,(IF($G$15&lt;=1600,U37,(IF($G$15&gt;1600,U38)))))))))</f>
        <v>4800</v>
      </c>
      <c r="T11" s="104">
        <f t="shared" si="0"/>
        <v>4800</v>
      </c>
      <c r="U11" s="2"/>
      <c r="V11" s="2"/>
      <c r="W11" s="2"/>
      <c r="X11" s="2"/>
      <c r="Y11" s="2"/>
      <c r="Z11" s="2"/>
      <c r="AA11" s="18"/>
      <c r="AI11" s="54" t="s">
        <v>66</v>
      </c>
      <c r="AJ11" s="693" t="s">
        <v>16</v>
      </c>
      <c r="AK11" s="631">
        <v>18869.5</v>
      </c>
      <c r="AL11" s="746">
        <v>32639.5</v>
      </c>
      <c r="AM11" s="746">
        <v>52071.5</v>
      </c>
      <c r="AN11" s="746">
        <v>67899</v>
      </c>
      <c r="AO11" s="746">
        <v>95249.5</v>
      </c>
      <c r="AQ11" s="760">
        <f>AK11+AK12+AK14+AK15+AK16+AK17+AK18+AK19+AK21</f>
        <v>38424.5</v>
      </c>
      <c r="AR11" s="760">
        <f t="shared" ref="AR11:AU11" si="1">AL11+AL12+AL14+AL15+AL16+AL17+AL18+AL19+AL21</f>
        <v>66036.166666666672</v>
      </c>
      <c r="AS11" s="760">
        <f t="shared" si="1"/>
        <v>95631.5</v>
      </c>
      <c r="AT11" s="760">
        <f t="shared" si="1"/>
        <v>130922.33333333333</v>
      </c>
      <c r="AU11" s="760">
        <f t="shared" si="1"/>
        <v>189359.5</v>
      </c>
      <c r="AW11" s="554">
        <f>AQ11/$AW$9</f>
        <v>85.387777777777771</v>
      </c>
      <c r="AX11" s="575">
        <f>AR11/$AX$9</f>
        <v>82.545208333333335</v>
      </c>
      <c r="AY11" s="554">
        <f>AS11/$AY$9</f>
        <v>79.692916666666662</v>
      </c>
      <c r="AZ11" s="554">
        <f>AT11/$AZ$9</f>
        <v>81.826458333333335</v>
      </c>
      <c r="BA11" s="554">
        <f>AU11/$BA$9</f>
        <v>78.899791666666673</v>
      </c>
      <c r="BC11" s="554">
        <f>AW11</f>
        <v>85.387777777777771</v>
      </c>
      <c r="BD11" s="575">
        <f>(AX11+AY11+AZ11+BA11)/4</f>
        <v>80.741093750000005</v>
      </c>
    </row>
    <row r="12" spans="1:56" ht="12" customHeight="1" x14ac:dyDescent="0.2">
      <c r="A12" s="2"/>
      <c r="B12" s="2"/>
      <c r="C12" s="902"/>
      <c r="D12" s="902"/>
      <c r="E12" s="902"/>
      <c r="F12" s="902"/>
      <c r="G12" s="902"/>
      <c r="H12" s="902"/>
      <c r="I12" s="2"/>
      <c r="J12" s="2"/>
      <c r="K12" s="913"/>
      <c r="L12" s="913"/>
      <c r="M12" s="913"/>
      <c r="N12" s="2"/>
      <c r="O12" s="2"/>
      <c r="P12" s="105" t="s">
        <v>557</v>
      </c>
      <c r="Q12" s="49" t="s">
        <v>580</v>
      </c>
      <c r="R12" s="187">
        <v>1</v>
      </c>
      <c r="S12" s="103">
        <f>IF($G$15&lt;=450,V34,(IF($G$15&lt;=800,V35,(IF($G$15&lt;=1200,V36,(IF($G$15&lt;=1600,V37,(IF($G$15&gt;1600,V38)))))))))</f>
        <v>3200</v>
      </c>
      <c r="T12" s="104">
        <f t="shared" si="0"/>
        <v>3200</v>
      </c>
      <c r="U12" s="2"/>
      <c r="V12" s="2"/>
      <c r="W12" s="2"/>
      <c r="X12" s="2"/>
      <c r="Y12" s="2"/>
      <c r="Z12" s="2"/>
      <c r="AA12" s="18"/>
      <c r="AI12" s="54" t="s">
        <v>67</v>
      </c>
      <c r="AJ12" s="693" t="s">
        <v>18</v>
      </c>
      <c r="AK12" s="631">
        <v>2200</v>
      </c>
      <c r="AL12" s="746">
        <v>3100</v>
      </c>
      <c r="AM12" s="746">
        <v>4400</v>
      </c>
      <c r="AN12" s="746">
        <v>5900</v>
      </c>
      <c r="AO12" s="746">
        <v>7950</v>
      </c>
      <c r="AQ12" s="567"/>
      <c r="AR12" s="567"/>
      <c r="AS12" s="567"/>
      <c r="AT12" s="567"/>
      <c r="AU12" s="567"/>
      <c r="AX12" s="569"/>
      <c r="BD12" s="569"/>
    </row>
    <row r="13" spans="1:56" ht="12" customHeight="1" x14ac:dyDescent="0.2">
      <c r="A13" s="2"/>
      <c r="B13" s="2"/>
      <c r="C13" s="2"/>
      <c r="D13" s="2"/>
      <c r="E13" s="15"/>
      <c r="F13" s="15"/>
      <c r="G13" s="15"/>
      <c r="H13" s="15"/>
      <c r="I13" s="2"/>
      <c r="J13" s="2"/>
      <c r="K13" s="2"/>
      <c r="L13" s="2"/>
      <c r="M13" s="2"/>
      <c r="N13" s="2"/>
      <c r="O13" s="2"/>
      <c r="P13" s="105" t="s">
        <v>558</v>
      </c>
      <c r="Q13" s="49" t="s">
        <v>255</v>
      </c>
      <c r="R13" s="187">
        <v>1</v>
      </c>
      <c r="S13" s="103">
        <f>IF($G$15&lt;=450,W34,(IF($G$15&lt;=800,W35,(IF($G$15&lt;=1200,W36,(IF($G$15&lt;=1600,W37,(IF($G$15&gt;1600,W38)))))))))</f>
        <v>2400</v>
      </c>
      <c r="T13" s="104">
        <f t="shared" si="0"/>
        <v>2400</v>
      </c>
      <c r="U13" s="2"/>
      <c r="V13" s="2"/>
      <c r="W13" s="2"/>
      <c r="X13" s="2"/>
      <c r="Y13" s="2"/>
      <c r="Z13" s="2"/>
      <c r="AA13" s="18"/>
      <c r="AB13" s="2"/>
      <c r="AI13" s="54" t="s">
        <v>68</v>
      </c>
      <c r="AJ13" s="694" t="s">
        <v>20</v>
      </c>
      <c r="AK13" s="631">
        <v>3185</v>
      </c>
      <c r="AL13" s="746">
        <v>4394.5</v>
      </c>
      <c r="AM13" s="746">
        <v>6421.5</v>
      </c>
      <c r="AN13" s="746">
        <v>7648</v>
      </c>
      <c r="AO13" s="746">
        <v>10475</v>
      </c>
      <c r="AQ13" s="723">
        <f>AK13</f>
        <v>3185</v>
      </c>
      <c r="AR13" s="723">
        <f t="shared" ref="AR13:AU13" si="2">AL13</f>
        <v>4394.5</v>
      </c>
      <c r="AS13" s="723">
        <f t="shared" si="2"/>
        <v>6421.5</v>
      </c>
      <c r="AT13" s="723">
        <f t="shared" si="2"/>
        <v>7648</v>
      </c>
      <c r="AU13" s="723">
        <f t="shared" si="2"/>
        <v>10475</v>
      </c>
      <c r="AW13" s="554"/>
      <c r="AX13" s="575"/>
      <c r="AY13" s="554"/>
      <c r="AZ13" s="554"/>
      <c r="BA13" s="554"/>
      <c r="BD13" s="575"/>
    </row>
    <row r="14" spans="1:56" s="2" customFormat="1" ht="12" customHeight="1" x14ac:dyDescent="0.2">
      <c r="E14" s="15"/>
      <c r="F14" s="20" t="s">
        <v>45</v>
      </c>
      <c r="G14" s="903" t="s">
        <v>831</v>
      </c>
      <c r="H14" s="904"/>
      <c r="I14" s="768" t="s">
        <v>376</v>
      </c>
      <c r="K14" s="914" t="str">
        <f>G14</f>
        <v>9-12</v>
      </c>
      <c r="L14" s="915"/>
      <c r="M14" s="916"/>
      <c r="P14" s="105" t="s">
        <v>559</v>
      </c>
      <c r="Q14" s="49" t="s">
        <v>257</v>
      </c>
      <c r="R14" s="187">
        <v>1</v>
      </c>
      <c r="S14" s="103">
        <f>IF($G$15&lt;=450,X34,(IF($G$15&lt;=800,X35,(IF($G$15&lt;=1200,X36,(IF($G$15&lt;=1600,X37,(IF($G$15&gt;1600,X38)))))))))</f>
        <v>240</v>
      </c>
      <c r="T14" s="104">
        <f t="shared" si="0"/>
        <v>240</v>
      </c>
      <c r="AA14" s="18"/>
      <c r="AI14" s="54" t="s">
        <v>69</v>
      </c>
      <c r="AJ14" s="693" t="s">
        <v>22</v>
      </c>
      <c r="AK14" s="631">
        <v>2905</v>
      </c>
      <c r="AL14" s="746">
        <v>4930</v>
      </c>
      <c r="AM14" s="746">
        <v>6820</v>
      </c>
      <c r="AN14" s="746">
        <v>8720</v>
      </c>
      <c r="AO14" s="746">
        <v>12530</v>
      </c>
      <c r="AQ14" s="535"/>
      <c r="AR14" s="535"/>
      <c r="AS14" s="535"/>
      <c r="AT14" s="535"/>
      <c r="AU14" s="535"/>
      <c r="AX14" s="568"/>
      <c r="BD14" s="568"/>
    </row>
    <row r="15" spans="1:56" s="2" customFormat="1" ht="12" customHeight="1" x14ac:dyDescent="0.2">
      <c r="C15" s="23"/>
      <c r="D15" s="15"/>
      <c r="E15" s="15"/>
      <c r="F15" s="89" t="s">
        <v>369</v>
      </c>
      <c r="G15" s="905">
        <v>2400</v>
      </c>
      <c r="H15" s="906"/>
      <c r="I15" s="768" t="s">
        <v>377</v>
      </c>
      <c r="J15" s="556"/>
      <c r="K15" s="941">
        <f>G15</f>
        <v>2400</v>
      </c>
      <c r="L15" s="942"/>
      <c r="M15" s="943"/>
      <c r="P15" s="105" t="s">
        <v>560</v>
      </c>
      <c r="Q15" s="49" t="s">
        <v>581</v>
      </c>
      <c r="R15" s="187">
        <v>1</v>
      </c>
      <c r="S15" s="103">
        <f>IF($G$15&lt;=450,Y34,(IF($G$15&lt;=800,Y35,(IF($G$15&lt;=1200,Y36,(IF($G$15&lt;=1600,Y37,(IF($G$15&gt;1600,Y38)))))))))</f>
        <v>4400</v>
      </c>
      <c r="T15" s="104">
        <f t="shared" ref="T15:T19" si="3">R15*S15</f>
        <v>4400</v>
      </c>
      <c r="AA15" s="18"/>
      <c r="AI15" s="54" t="s">
        <v>70</v>
      </c>
      <c r="AJ15" s="693" t="s">
        <v>27</v>
      </c>
      <c r="AK15" s="631">
        <v>1500</v>
      </c>
      <c r="AL15" s="746">
        <v>2900</v>
      </c>
      <c r="AM15" s="746">
        <v>3500</v>
      </c>
      <c r="AN15" s="746">
        <v>5500</v>
      </c>
      <c r="AO15" s="746">
        <v>9100</v>
      </c>
      <c r="AQ15" s="535"/>
      <c r="AR15" s="535"/>
      <c r="AS15" s="535"/>
      <c r="AT15" s="535"/>
      <c r="AU15" s="535"/>
      <c r="AX15" s="568"/>
      <c r="BD15" s="568"/>
    </row>
    <row r="16" spans="1:56" s="2" customFormat="1" ht="12" customHeight="1" x14ac:dyDescent="0.2">
      <c r="F16" s="84" t="s">
        <v>370</v>
      </c>
      <c r="G16" s="882">
        <f ca="1">IF(G15="","",G17/G15)</f>
        <v>156</v>
      </c>
      <c r="H16" s="883"/>
      <c r="I16" s="382"/>
      <c r="K16" s="944"/>
      <c r="L16" s="944"/>
      <c r="M16" s="944"/>
      <c r="P16" s="105" t="s">
        <v>561</v>
      </c>
      <c r="Q16" s="49" t="s">
        <v>261</v>
      </c>
      <c r="R16" s="187">
        <v>1</v>
      </c>
      <c r="S16" s="103">
        <f>IF($G$15&lt;=450,Z34,(IF($G$15&lt;=800,Z35,(IF($G$15&lt;=1200,Z36,(IF($G$15&lt;=1600,Z37,(IF($G$15&gt;1600,Z38)))))))))</f>
        <v>1200</v>
      </c>
      <c r="T16" s="104">
        <f t="shared" si="3"/>
        <v>1200</v>
      </c>
      <c r="AA16" s="18"/>
      <c r="AI16" s="54" t="s">
        <v>71</v>
      </c>
      <c r="AJ16" s="693" t="s">
        <v>29</v>
      </c>
      <c r="AK16" s="631">
        <v>2870</v>
      </c>
      <c r="AL16" s="746">
        <v>4970</v>
      </c>
      <c r="AM16" s="746">
        <v>6310</v>
      </c>
      <c r="AN16" s="746">
        <v>10690</v>
      </c>
      <c r="AO16" s="746">
        <v>13420</v>
      </c>
      <c r="AQ16" s="535"/>
      <c r="AR16" s="535"/>
      <c r="AS16" s="535"/>
      <c r="AT16" s="535"/>
      <c r="AU16" s="535"/>
      <c r="AX16" s="568"/>
      <c r="BD16" s="568"/>
    </row>
    <row r="17" spans="1:56" s="2" customFormat="1" ht="12" customHeight="1" x14ac:dyDescent="0.2">
      <c r="F17" s="85" t="s">
        <v>427</v>
      </c>
      <c r="G17" s="985">
        <f ca="1">DNPBracketing!E42</f>
        <v>374400</v>
      </c>
      <c r="H17" s="985"/>
      <c r="I17" s="382"/>
      <c r="J17" s="52"/>
      <c r="K17" s="917"/>
      <c r="L17" s="917"/>
      <c r="M17" s="917"/>
      <c r="P17" s="105" t="s">
        <v>563</v>
      </c>
      <c r="Q17" s="22" t="s">
        <v>259</v>
      </c>
      <c r="R17" s="106">
        <v>1</v>
      </c>
      <c r="S17" s="103">
        <f>IF($G$15&lt;=450,AA34,(IF($G$15&lt;=800,AA35,(IF($G$15&lt;=1200,AA36,(IF($G$15&lt;=1600,AA37,(IF($G$15&gt;1600,AA38)))))))))</f>
        <v>1500</v>
      </c>
      <c r="T17" s="104">
        <f t="shared" si="3"/>
        <v>1500</v>
      </c>
      <c r="AA17" s="18"/>
      <c r="AI17" s="54" t="s">
        <v>72</v>
      </c>
      <c r="AJ17" s="693" t="s">
        <v>31</v>
      </c>
      <c r="AK17" s="746">
        <v>1950</v>
      </c>
      <c r="AL17" s="746">
        <v>3600</v>
      </c>
      <c r="AM17" s="746">
        <v>5000</v>
      </c>
      <c r="AN17" s="746">
        <v>7200</v>
      </c>
      <c r="AO17" s="746">
        <v>13800</v>
      </c>
      <c r="AQ17" s="535"/>
      <c r="AR17" s="535"/>
      <c r="AS17" s="535"/>
      <c r="AT17" s="535"/>
      <c r="AU17" s="535"/>
      <c r="AX17" s="568"/>
      <c r="BD17" s="568"/>
    </row>
    <row r="18" spans="1:56" s="2" customFormat="1" ht="12" customHeight="1" x14ac:dyDescent="0.2">
      <c r="C18" s="253" t="s">
        <v>368</v>
      </c>
      <c r="G18" s="986">
        <f>IF(I18=1,0,IF(G15=350,((SUM(G21:G24)-T351)*0.015),IF(G15&gt;=1000,((SUM(G21:G24)-T351)*0.01),(SUM(G21:G24)-T351)*(((-0.0008*G15)+1.7692)/100))))</f>
        <v>0</v>
      </c>
      <c r="H18" s="986"/>
      <c r="I18" s="767">
        <v>1</v>
      </c>
      <c r="P18" s="105" t="s">
        <v>564</v>
      </c>
      <c r="Q18" s="22" t="s">
        <v>576</v>
      </c>
      <c r="R18" s="106">
        <v>1</v>
      </c>
      <c r="S18" s="103">
        <f>IF($G$15&lt;=450,AB34,(IF($G$15&lt;=800,AB35,(IF($G$15&lt;=1200,AB36,(IF($G$15&lt;=1600,AB37,(IF($G$15&gt;1600,AB38)))))))))</f>
        <v>3000</v>
      </c>
      <c r="T18" s="104">
        <f t="shared" si="3"/>
        <v>3000</v>
      </c>
      <c r="AA18" s="18"/>
      <c r="AI18" s="54" t="s">
        <v>73</v>
      </c>
      <c r="AJ18" s="693" t="s">
        <v>74</v>
      </c>
      <c r="AK18" s="746">
        <v>1100</v>
      </c>
      <c r="AL18" s="746">
        <v>2100</v>
      </c>
      <c r="AM18" s="746">
        <v>2150</v>
      </c>
      <c r="AN18" s="746">
        <v>4700</v>
      </c>
      <c r="AO18" s="746">
        <v>7000</v>
      </c>
      <c r="AQ18" s="535"/>
      <c r="AR18" s="535"/>
      <c r="AS18" s="535"/>
      <c r="AT18" s="535"/>
      <c r="AU18" s="535"/>
      <c r="AX18" s="568"/>
      <c r="BD18" s="568"/>
    </row>
    <row r="19" spans="1:56" s="2" customFormat="1" ht="12" customHeight="1" thickBot="1" x14ac:dyDescent="0.25">
      <c r="C19" s="24"/>
      <c r="D19" s="7"/>
      <c r="E19" s="7"/>
      <c r="F19" s="280" t="s">
        <v>371</v>
      </c>
      <c r="G19" s="993">
        <f ca="1">G17+G18</f>
        <v>374400</v>
      </c>
      <c r="H19" s="993"/>
      <c r="I19" s="651">
        <f ca="1">G17/1.11</f>
        <v>337297.29729729728</v>
      </c>
      <c r="P19" s="105" t="s">
        <v>565</v>
      </c>
      <c r="Q19" s="22" t="s">
        <v>582</v>
      </c>
      <c r="R19" s="106">
        <v>1</v>
      </c>
      <c r="S19" s="103">
        <f>IF($G$15&lt;=450,AC34,(IF($G$15&lt;=800,AC35,(IF($G$15&lt;=1200,AC36,(IF($G$15&lt;=1600,AC37,(IF($G$15&gt;1600,AC38)))))))))</f>
        <v>0</v>
      </c>
      <c r="T19" s="104">
        <f t="shared" si="3"/>
        <v>0</v>
      </c>
      <c r="AI19" s="54" t="s">
        <v>75</v>
      </c>
      <c r="AJ19" s="693" t="s">
        <v>0</v>
      </c>
      <c r="AK19" s="746">
        <v>1550</v>
      </c>
      <c r="AL19" s="746">
        <v>2800</v>
      </c>
      <c r="AM19" s="746">
        <v>2850</v>
      </c>
      <c r="AN19" s="746">
        <v>4100</v>
      </c>
      <c r="AO19" s="746">
        <v>6950</v>
      </c>
      <c r="AQ19" s="535"/>
      <c r="AR19" s="535"/>
      <c r="AS19" s="535"/>
      <c r="AT19" s="535"/>
      <c r="AU19" s="535"/>
      <c r="AX19" s="568"/>
      <c r="BD19" s="568"/>
    </row>
    <row r="20" spans="1:56" s="2" customFormat="1" ht="12" customHeight="1" thickBot="1" x14ac:dyDescent="0.25">
      <c r="C20" s="83" t="s">
        <v>43</v>
      </c>
      <c r="D20" s="26"/>
      <c r="E20" s="26"/>
      <c r="F20" s="27"/>
      <c r="G20" s="28" t="s">
        <v>38</v>
      </c>
      <c r="H20" s="29"/>
      <c r="I20" s="382"/>
      <c r="P20" s="108" t="s">
        <v>566</v>
      </c>
      <c r="Q20" s="109" t="s">
        <v>261</v>
      </c>
      <c r="R20" s="106">
        <v>1</v>
      </c>
      <c r="S20" s="103">
        <f>IF($G$15&lt;=450,AD34,(IF($G$15&lt;=800,AD35,(IF($G$15&lt;=1200,AD36,(IF($G$15&lt;=1600,AD37,(IF($G$15&gt;1600,AD38)))))))))</f>
        <v>900</v>
      </c>
      <c r="T20" s="104">
        <f t="shared" ref="T20:T22" si="4">R20*S20</f>
        <v>900</v>
      </c>
      <c r="U20" s="17" t="s">
        <v>41</v>
      </c>
      <c r="AI20" s="54" t="s">
        <v>76</v>
      </c>
      <c r="AJ20" s="695" t="s">
        <v>2</v>
      </c>
      <c r="AK20" s="746">
        <v>11611</v>
      </c>
      <c r="AL20" s="746">
        <v>16950</v>
      </c>
      <c r="AM20" s="746">
        <v>28770</v>
      </c>
      <c r="AN20" s="746">
        <v>32970</v>
      </c>
      <c r="AO20" s="746">
        <v>46790</v>
      </c>
      <c r="AQ20" s="725">
        <f>AK20</f>
        <v>11611</v>
      </c>
      <c r="AR20" s="725">
        <f t="shared" ref="AR20:AU20" si="5">AL20</f>
        <v>16950</v>
      </c>
      <c r="AS20" s="725">
        <f t="shared" si="5"/>
        <v>28770</v>
      </c>
      <c r="AT20" s="725">
        <f t="shared" si="5"/>
        <v>32970</v>
      </c>
      <c r="AU20" s="725">
        <f t="shared" si="5"/>
        <v>46790</v>
      </c>
      <c r="AW20" s="554"/>
      <c r="AX20" s="575"/>
      <c r="AY20" s="554"/>
      <c r="AZ20" s="554"/>
      <c r="BA20" s="554"/>
      <c r="BD20" s="575"/>
    </row>
    <row r="21" spans="1:56" s="2" customFormat="1" ht="27" customHeight="1" x14ac:dyDescent="0.2">
      <c r="C21" s="929" t="s">
        <v>432</v>
      </c>
      <c r="D21" s="930"/>
      <c r="E21" s="930"/>
      <c r="F21" s="931"/>
      <c r="G21" s="555">
        <f>IF(G15&lt;=450,G15*AW11,IF(G15&lt;=800,G15*AX11,IF(G15&lt;=1200,G15*AY11,IF(G15&lt;=1600,G15*AZ11,IF(G15&lt;=2400,G15*BA11,IF(G15&gt;2400,G15*BA11))))))</f>
        <v>189359.5</v>
      </c>
      <c r="H21" s="81" t="s">
        <v>48</v>
      </c>
      <c r="I21" s="768" t="s">
        <v>378</v>
      </c>
      <c r="J21" s="52"/>
      <c r="K21" s="961">
        <f>G43+G44+G46+G47+G48+G49+G50+G51+G53</f>
        <v>0</v>
      </c>
      <c r="L21" s="962"/>
      <c r="M21" s="963"/>
      <c r="P21" s="108" t="s">
        <v>567</v>
      </c>
      <c r="Q21" s="109" t="s">
        <v>576</v>
      </c>
      <c r="R21" s="106">
        <v>1</v>
      </c>
      <c r="S21" s="103">
        <f>IF($G$15&lt;=450,AE34,(IF($G$15&lt;=800,AE35,(IF($G$15&lt;=1200,AE36,(IF($G$15&lt;=1600,AE37,(IF($G$15&gt;1600,AE38)))))))))</f>
        <v>1610</v>
      </c>
      <c r="T21" s="104">
        <f t="shared" si="4"/>
        <v>1610</v>
      </c>
      <c r="U21" s="17" t="s">
        <v>41</v>
      </c>
      <c r="AI21" s="54" t="s">
        <v>77</v>
      </c>
      <c r="AJ21" s="693" t="s">
        <v>4</v>
      </c>
      <c r="AK21" s="746">
        <v>5480</v>
      </c>
      <c r="AL21" s="746">
        <v>8996.6666666666679</v>
      </c>
      <c r="AM21" s="746">
        <v>12530</v>
      </c>
      <c r="AN21" s="746">
        <v>16213.333333333334</v>
      </c>
      <c r="AO21" s="746">
        <v>23360</v>
      </c>
      <c r="AQ21" s="535"/>
      <c r="AR21" s="535"/>
      <c r="AS21" s="535"/>
      <c r="AT21" s="535"/>
      <c r="AU21" s="535"/>
      <c r="AX21" s="568"/>
      <c r="BD21" s="568"/>
    </row>
    <row r="22" spans="1:56" s="2" customFormat="1" ht="12" customHeight="1" x14ac:dyDescent="0.2">
      <c r="C22" s="932" t="s">
        <v>20</v>
      </c>
      <c r="D22" s="933"/>
      <c r="E22" s="933"/>
      <c r="F22" s="934"/>
      <c r="G22" s="531">
        <f>T198</f>
        <v>10475</v>
      </c>
      <c r="H22" s="31"/>
      <c r="I22" s="768" t="s">
        <v>379</v>
      </c>
      <c r="J22" s="52"/>
      <c r="K22" s="964">
        <f>G45</f>
        <v>0</v>
      </c>
      <c r="L22" s="965"/>
      <c r="M22" s="966"/>
      <c r="P22" s="108" t="s">
        <v>568</v>
      </c>
      <c r="Q22" s="109" t="s">
        <v>265</v>
      </c>
      <c r="R22" s="106">
        <v>1</v>
      </c>
      <c r="S22" s="286">
        <f>IF($G$15&lt;=450,AF34,(IF($G$15&lt;=800,AF35,(IF($G$15&lt;=1200,AF36,(IF($G$15&lt;=1600,AF37,(IF($G$15&gt;1600,AF38)))))))))</f>
        <v>2400</v>
      </c>
      <c r="T22" s="112">
        <f t="shared" si="4"/>
        <v>2400</v>
      </c>
      <c r="U22" s="17" t="s">
        <v>41</v>
      </c>
      <c r="AA22" s="18"/>
      <c r="AI22" s="54" t="s">
        <v>78</v>
      </c>
      <c r="AJ22" s="696" t="s">
        <v>6</v>
      </c>
      <c r="AK22" s="746">
        <v>1790</v>
      </c>
      <c r="AL22" s="746">
        <v>3015</v>
      </c>
      <c r="AM22" s="746">
        <v>4415</v>
      </c>
      <c r="AN22" s="746">
        <v>5815</v>
      </c>
      <c r="AO22" s="746">
        <v>8830</v>
      </c>
      <c r="AQ22" s="727">
        <f>AK22+AK23+AK24</f>
        <v>19752.392</v>
      </c>
      <c r="AR22" s="727">
        <f t="shared" ref="AR22:AU22" si="6">AL22+AL23+AL24</f>
        <v>32259.282666666673</v>
      </c>
      <c r="AS22" s="727">
        <f t="shared" si="6"/>
        <v>47555.352000000006</v>
      </c>
      <c r="AT22" s="727">
        <f t="shared" si="6"/>
        <v>61973.021333333345</v>
      </c>
      <c r="AU22" s="727">
        <f t="shared" si="6"/>
        <v>90672.968000000008</v>
      </c>
      <c r="AW22" s="554">
        <f>AQ22/$AW$9</f>
        <v>43.894204444444441</v>
      </c>
      <c r="AX22" s="575">
        <f>AR22/$AX$9</f>
        <v>40.324103333333341</v>
      </c>
      <c r="AY22" s="554">
        <f>AS22/$AY$9</f>
        <v>39.629460000000002</v>
      </c>
      <c r="AZ22" s="554">
        <f>AT22/$AZ$9</f>
        <v>38.733138333333343</v>
      </c>
      <c r="BA22" s="554">
        <f>AU22/$BA$9</f>
        <v>37.780403333333339</v>
      </c>
      <c r="BC22" s="554">
        <f>AW22</f>
        <v>43.894204444444441</v>
      </c>
      <c r="BD22" s="575">
        <f>(AX22+AY22+AZ22+BA22)/4</f>
        <v>39.116776250000001</v>
      </c>
    </row>
    <row r="23" spans="1:56" s="2" customFormat="1" ht="12" customHeight="1" x14ac:dyDescent="0.2">
      <c r="C23" s="935" t="s">
        <v>2</v>
      </c>
      <c r="D23" s="936"/>
      <c r="E23" s="936"/>
      <c r="F23" s="937"/>
      <c r="G23" s="531">
        <f>T226</f>
        <v>46790</v>
      </c>
      <c r="H23" s="82" t="s">
        <v>47</v>
      </c>
      <c r="I23" s="768" t="s">
        <v>380</v>
      </c>
      <c r="J23" s="52"/>
      <c r="K23" s="919">
        <f>G52</f>
        <v>0</v>
      </c>
      <c r="L23" s="920"/>
      <c r="M23" s="921"/>
      <c r="P23" s="101"/>
      <c r="Q23" s="22"/>
      <c r="R23" s="80"/>
      <c r="S23" s="80"/>
      <c r="T23" s="73"/>
      <c r="AA23" s="18"/>
      <c r="AI23" s="54" t="s">
        <v>79</v>
      </c>
      <c r="AJ23" s="696" t="s">
        <v>8</v>
      </c>
      <c r="AK23" s="746">
        <v>300</v>
      </c>
      <c r="AL23" s="746">
        <v>500</v>
      </c>
      <c r="AM23" s="746">
        <v>500</v>
      </c>
      <c r="AN23" s="746">
        <v>500</v>
      </c>
      <c r="AO23" s="746">
        <v>1200</v>
      </c>
      <c r="AQ23" s="535"/>
      <c r="AR23" s="535"/>
      <c r="AS23" s="535"/>
      <c r="AT23" s="535"/>
      <c r="AU23" s="535"/>
    </row>
    <row r="24" spans="1:56" s="2" customFormat="1" ht="12" customHeight="1" thickBot="1" x14ac:dyDescent="0.25">
      <c r="C24" s="938" t="s">
        <v>46</v>
      </c>
      <c r="D24" s="939"/>
      <c r="E24" s="939"/>
      <c r="F24" s="940"/>
      <c r="G24" s="531">
        <f ca="1">I19-(G21+G22+G23)</f>
        <v>90672.797297297278</v>
      </c>
      <c r="H24" s="31"/>
      <c r="I24" s="768" t="s">
        <v>381</v>
      </c>
      <c r="J24" s="52"/>
      <c r="K24" s="922">
        <f>G54+G55+G56</f>
        <v>0</v>
      </c>
      <c r="L24" s="923"/>
      <c r="M24" s="924"/>
      <c r="P24" s="113" t="s">
        <v>266</v>
      </c>
      <c r="Q24" s="114"/>
      <c r="R24" s="115"/>
      <c r="S24" s="115"/>
      <c r="T24" s="116">
        <f>SUM(T8:T22)</f>
        <v>95250</v>
      </c>
      <c r="W24" s="117"/>
      <c r="X24" s="117"/>
      <c r="Y24" s="117"/>
      <c r="Z24" s="117"/>
      <c r="AA24" s="117"/>
      <c r="AI24" s="54" t="s">
        <v>80</v>
      </c>
      <c r="AJ24" s="696" t="s">
        <v>10</v>
      </c>
      <c r="AK24" s="761">
        <v>17662.392</v>
      </c>
      <c r="AL24" s="761">
        <v>28744.282666666673</v>
      </c>
      <c r="AM24" s="761">
        <v>42640.352000000006</v>
      </c>
      <c r="AN24" s="761">
        <v>55658.021333333345</v>
      </c>
      <c r="AO24" s="761">
        <v>80642.968000000008</v>
      </c>
      <c r="AQ24" s="535"/>
      <c r="AR24" s="535"/>
      <c r="AS24" s="535"/>
      <c r="AT24" s="535"/>
      <c r="AU24" s="535"/>
    </row>
    <row r="25" spans="1:56" s="2" customFormat="1" ht="12" customHeight="1" thickTop="1" thickBot="1" x14ac:dyDescent="0.25">
      <c r="C25" s="33"/>
      <c r="D25" s="34"/>
      <c r="E25" s="34"/>
      <c r="F25" s="35"/>
      <c r="G25" s="36"/>
      <c r="H25" s="37"/>
      <c r="I25" s="30"/>
      <c r="J25" s="15"/>
      <c r="P25" s="117"/>
      <c r="Q25" s="117"/>
      <c r="R25" s="117"/>
      <c r="S25" s="117"/>
      <c r="T25" s="117"/>
      <c r="U25" s="117"/>
      <c r="V25" s="117"/>
      <c r="W25" s="117"/>
      <c r="X25" s="117"/>
      <c r="Y25" s="117"/>
      <c r="Z25" s="117"/>
      <c r="AA25" s="117"/>
      <c r="AI25" s="614" t="s">
        <v>875</v>
      </c>
      <c r="AJ25" s="618"/>
      <c r="AK25" s="762">
        <f>SUM(AK11:AK24)</f>
        <v>72972.891999999993</v>
      </c>
      <c r="AL25" s="762">
        <f>SUM(AL11:AL24)</f>
        <v>119639.94933333335</v>
      </c>
      <c r="AM25" s="762">
        <f>SUM(AM11:AM24)</f>
        <v>178378.35200000001</v>
      </c>
      <c r="AN25" s="762">
        <f>SUM(AN11:AN24)</f>
        <v>233513.35466666668</v>
      </c>
      <c r="AO25" s="762">
        <f>SUM(AO11:AO24)</f>
        <v>337297.46799999999</v>
      </c>
      <c r="AQ25" s="566">
        <f>SUM(AQ11:AQ24)</f>
        <v>72972.891999999993</v>
      </c>
      <c r="AR25" s="566">
        <f t="shared" ref="AR25:AU25" si="7">SUM(AR11:AR24)</f>
        <v>119639.94933333335</v>
      </c>
      <c r="AS25" s="566">
        <f t="shared" si="7"/>
        <v>178378.35200000001</v>
      </c>
      <c r="AT25" s="566">
        <f t="shared" si="7"/>
        <v>233513.35466666665</v>
      </c>
      <c r="AU25" s="566">
        <f t="shared" si="7"/>
        <v>337297.46799999999</v>
      </c>
    </row>
    <row r="26" spans="1:56" s="2" customFormat="1" ht="12" customHeight="1" thickBot="1" x14ac:dyDescent="0.25">
      <c r="C26" s="38"/>
      <c r="D26" s="39"/>
      <c r="E26" s="39"/>
      <c r="F26" s="258" t="s">
        <v>402</v>
      </c>
      <c r="G26" s="907">
        <f ca="1">SUM(G21:G24)</f>
        <v>337297.29729729728</v>
      </c>
      <c r="H26" s="908"/>
      <c r="I26" s="15"/>
      <c r="J26" s="15"/>
      <c r="K26" s="907">
        <f>SUM(K21:M25)</f>
        <v>0</v>
      </c>
      <c r="L26" s="925"/>
      <c r="M26" s="908"/>
      <c r="P26" s="967" t="s">
        <v>267</v>
      </c>
      <c r="Q26" s="968"/>
      <c r="R26" s="968"/>
      <c r="S26" s="968"/>
      <c r="T26" s="968"/>
      <c r="U26" s="968"/>
      <c r="V26" s="969"/>
      <c r="W26" s="117"/>
      <c r="X26" s="117"/>
      <c r="Y26" s="117"/>
      <c r="Z26" s="117"/>
      <c r="AA26" s="117"/>
      <c r="AI26" s="54" t="s">
        <v>876</v>
      </c>
      <c r="AJ26" s="22"/>
      <c r="AK26" s="763">
        <v>0.11</v>
      </c>
      <c r="AL26" s="763">
        <v>0.11</v>
      </c>
      <c r="AM26" s="763">
        <v>0.11</v>
      </c>
      <c r="AN26" s="763">
        <v>0.11</v>
      </c>
      <c r="AO26" s="763">
        <v>0.11</v>
      </c>
    </row>
    <row r="27" spans="1:56" s="2" customFormat="1" ht="12" customHeight="1" thickBot="1" x14ac:dyDescent="0.25">
      <c r="C27" s="38"/>
      <c r="D27" s="39"/>
      <c r="E27" s="39"/>
      <c r="F27" s="40" t="s">
        <v>429</v>
      </c>
      <c r="G27" s="909">
        <v>0.11</v>
      </c>
      <c r="H27" s="910"/>
      <c r="I27" s="15"/>
      <c r="J27" s="15"/>
      <c r="K27" s="909"/>
      <c r="L27" s="926"/>
      <c r="M27" s="910"/>
      <c r="P27" s="118" t="s">
        <v>23</v>
      </c>
      <c r="Q27" s="119" t="s">
        <v>24</v>
      </c>
      <c r="R27" s="120"/>
      <c r="S27" s="120"/>
      <c r="T27" s="120"/>
      <c r="U27" s="120"/>
      <c r="V27" s="121"/>
      <c r="W27" s="122"/>
      <c r="X27" s="122"/>
      <c r="Y27" s="122"/>
      <c r="Z27" s="122"/>
      <c r="AA27" s="117"/>
      <c r="AI27" s="764" t="s">
        <v>877</v>
      </c>
      <c r="AJ27" s="45"/>
      <c r="AK27" s="765">
        <f>AK25+(AK25*AK26)</f>
        <v>80999.910119999986</v>
      </c>
      <c r="AL27" s="765">
        <f>AL25+(AL25*AL26)</f>
        <v>132800.34376000002</v>
      </c>
      <c r="AM27" s="766">
        <f>AM25+(AM25*AM26)</f>
        <v>197999.97072000001</v>
      </c>
      <c r="AN27" s="766">
        <f>AN25+(AN25*AN26)</f>
        <v>259199.82368000003</v>
      </c>
      <c r="AO27" s="766">
        <f>AO25+(AO25*AO26)</f>
        <v>374400.18948</v>
      </c>
    </row>
    <row r="28" spans="1:56" s="2" customFormat="1" ht="12" customHeight="1" thickBot="1" x14ac:dyDescent="0.25">
      <c r="C28" s="41"/>
      <c r="D28" s="42"/>
      <c r="E28" s="42"/>
      <c r="F28" s="259" t="s">
        <v>373</v>
      </c>
      <c r="G28" s="911">
        <f ca="1">(G26*G27)+G26</f>
        <v>374400</v>
      </c>
      <c r="H28" s="912"/>
      <c r="I28" s="15"/>
      <c r="J28" s="15"/>
      <c r="K28" s="911">
        <f>G59</f>
        <v>0</v>
      </c>
      <c r="L28" s="927"/>
      <c r="M28" s="912"/>
      <c r="P28" s="123">
        <v>1</v>
      </c>
      <c r="Q28" s="124" t="s">
        <v>572</v>
      </c>
      <c r="R28" s="125"/>
      <c r="S28" s="125"/>
      <c r="T28" s="125"/>
      <c r="U28" s="125"/>
      <c r="V28" s="126"/>
      <c r="W28" s="122"/>
      <c r="X28" s="122"/>
      <c r="Y28" s="122"/>
      <c r="Z28" s="122"/>
      <c r="AA28" s="117"/>
    </row>
    <row r="29" spans="1:56" s="2" customFormat="1" ht="12" customHeight="1" x14ac:dyDescent="0.2">
      <c r="C29" s="15"/>
      <c r="D29" s="15"/>
      <c r="E29" s="15"/>
      <c r="F29" s="43"/>
      <c r="G29" s="459"/>
      <c r="H29" s="459"/>
      <c r="I29" s="15"/>
      <c r="J29" s="15"/>
      <c r="P29" s="123"/>
      <c r="Q29" s="127" t="s">
        <v>423</v>
      </c>
      <c r="R29" s="128"/>
      <c r="S29" s="128"/>
      <c r="T29" s="128"/>
      <c r="U29" s="128"/>
      <c r="V29" s="129"/>
      <c r="W29" s="122"/>
      <c r="X29" s="122"/>
      <c r="Y29" s="122"/>
      <c r="Z29" s="122"/>
      <c r="AA29" s="117"/>
    </row>
    <row r="30" spans="1:56" s="2" customFormat="1" ht="12" customHeight="1" thickBot="1" x14ac:dyDescent="0.25">
      <c r="I30" s="15"/>
      <c r="J30" s="91"/>
      <c r="K30" s="254" t="s">
        <v>12</v>
      </c>
      <c r="L30" s="94">
        <f ca="1">G65</f>
        <v>-374400</v>
      </c>
      <c r="M30" s="52"/>
      <c r="P30" s="130"/>
      <c r="Q30" s="131" t="s">
        <v>573</v>
      </c>
      <c r="R30" s="132"/>
      <c r="S30" s="132"/>
      <c r="T30" s="132"/>
      <c r="U30" s="132"/>
      <c r="V30" s="133"/>
    </row>
    <row r="31" spans="1:56" s="2" customFormat="1" ht="12" customHeight="1" thickBot="1" x14ac:dyDescent="0.25">
      <c r="A31" s="269" t="s">
        <v>382</v>
      </c>
      <c r="C31" s="900" t="s">
        <v>81</v>
      </c>
      <c r="D31" s="900"/>
      <c r="E31" s="900"/>
      <c r="F31" s="900"/>
      <c r="G31" s="900"/>
      <c r="H31" s="900"/>
      <c r="I31" s="900"/>
      <c r="J31" s="900"/>
      <c r="K31" s="900"/>
      <c r="L31" s="900"/>
    </row>
    <row r="32" spans="1:56" s="2" customFormat="1" ht="12" customHeight="1" thickBot="1" x14ac:dyDescent="0.25">
      <c r="A32" s="269" t="s">
        <v>383</v>
      </c>
      <c r="C32" s="900" t="s">
        <v>742</v>
      </c>
      <c r="D32" s="900"/>
      <c r="E32" s="900"/>
      <c r="F32" s="900"/>
      <c r="G32" s="900"/>
      <c r="H32" s="900"/>
      <c r="I32" s="900"/>
      <c r="J32" s="900"/>
      <c r="K32" s="900"/>
      <c r="L32" s="900"/>
      <c r="Q32" s="945" t="s">
        <v>102</v>
      </c>
      <c r="R32" s="946"/>
      <c r="S32" s="946"/>
      <c r="T32" s="946"/>
      <c r="U32" s="946"/>
      <c r="V32" s="946"/>
      <c r="W32" s="946"/>
      <c r="X32" s="946"/>
      <c r="Y32" s="946"/>
      <c r="Z32" s="946"/>
      <c r="AA32" s="946"/>
      <c r="AB32" s="946"/>
      <c r="AC32" s="946"/>
      <c r="AD32" s="946"/>
      <c r="AE32" s="946"/>
      <c r="AF32" s="946"/>
      <c r="AG32" s="947"/>
    </row>
    <row r="33" spans="1:34" s="2" customFormat="1" ht="12" customHeight="1" thickBot="1" x14ac:dyDescent="0.25">
      <c r="A33" s="270" t="s">
        <v>410</v>
      </c>
      <c r="C33" s="928" t="s">
        <v>440</v>
      </c>
      <c r="D33" s="928"/>
      <c r="E33" s="928"/>
      <c r="F33" s="928"/>
      <c r="G33" s="928"/>
      <c r="H33" s="928"/>
      <c r="I33" s="928"/>
      <c r="J33" s="928"/>
      <c r="K33" s="928"/>
      <c r="L33" s="928"/>
      <c r="M33" s="928"/>
      <c r="Q33" s="134" t="s">
        <v>103</v>
      </c>
      <c r="R33" s="135" t="s">
        <v>553</v>
      </c>
      <c r="S33" s="135" t="s">
        <v>554</v>
      </c>
      <c r="T33" s="135" t="s">
        <v>555</v>
      </c>
      <c r="U33" s="135" t="s">
        <v>556</v>
      </c>
      <c r="V33" s="135" t="s">
        <v>557</v>
      </c>
      <c r="W33" s="135" t="s">
        <v>558</v>
      </c>
      <c r="X33" s="135" t="s">
        <v>559</v>
      </c>
      <c r="Y33" s="135" t="s">
        <v>560</v>
      </c>
      <c r="Z33" s="135" t="s">
        <v>561</v>
      </c>
      <c r="AA33" s="135" t="s">
        <v>563</v>
      </c>
      <c r="AB33" s="135" t="s">
        <v>564</v>
      </c>
      <c r="AC33" s="135" t="s">
        <v>565</v>
      </c>
      <c r="AD33" s="135" t="s">
        <v>566</v>
      </c>
      <c r="AE33" s="135" t="s">
        <v>567</v>
      </c>
      <c r="AF33" s="135" t="s">
        <v>568</v>
      </c>
      <c r="AG33" s="136" t="s">
        <v>179</v>
      </c>
    </row>
    <row r="34" spans="1:34" s="2" customFormat="1" ht="12" customHeight="1" x14ac:dyDescent="0.2">
      <c r="C34" s="928"/>
      <c r="D34" s="928"/>
      <c r="E34" s="928"/>
      <c r="F34" s="928"/>
      <c r="G34" s="928"/>
      <c r="H34" s="928"/>
      <c r="I34" s="928"/>
      <c r="J34" s="928"/>
      <c r="K34" s="928"/>
      <c r="L34" s="928"/>
      <c r="M34" s="928"/>
      <c r="N34" s="46"/>
      <c r="Q34" s="137" t="s">
        <v>458</v>
      </c>
      <c r="R34" s="138">
        <v>10800</v>
      </c>
      <c r="S34" s="138">
        <v>1200</v>
      </c>
      <c r="T34" s="138">
        <v>1200</v>
      </c>
      <c r="U34" s="138">
        <v>1200</v>
      </c>
      <c r="V34" s="138">
        <v>300</v>
      </c>
      <c r="W34" s="138">
        <v>1200</v>
      </c>
      <c r="X34" s="138">
        <v>120</v>
      </c>
      <c r="Y34" s="138">
        <v>1100</v>
      </c>
      <c r="Z34" s="138">
        <v>450</v>
      </c>
      <c r="AA34" s="138">
        <v>100</v>
      </c>
      <c r="AB34" s="138">
        <v>0</v>
      </c>
      <c r="AC34" s="138">
        <v>0</v>
      </c>
      <c r="AD34" s="138">
        <v>0</v>
      </c>
      <c r="AE34" s="138">
        <v>0</v>
      </c>
      <c r="AF34" s="138">
        <v>1200</v>
      </c>
      <c r="AG34" s="139">
        <f>SUM(R34:AF34)</f>
        <v>18870</v>
      </c>
    </row>
    <row r="35" spans="1:34" s="2" customFormat="1" ht="12" customHeight="1" x14ac:dyDescent="0.2">
      <c r="C35" s="928"/>
      <c r="D35" s="928"/>
      <c r="E35" s="928"/>
      <c r="F35" s="928"/>
      <c r="G35" s="928"/>
      <c r="H35" s="928"/>
      <c r="I35" s="928"/>
      <c r="J35" s="928"/>
      <c r="K35" s="928"/>
      <c r="L35" s="928"/>
      <c r="M35" s="928"/>
      <c r="N35" s="46"/>
      <c r="Q35" s="140" t="s">
        <v>569</v>
      </c>
      <c r="R35" s="141">
        <v>18000</v>
      </c>
      <c r="S35" s="141">
        <v>2400</v>
      </c>
      <c r="T35" s="141">
        <v>1200</v>
      </c>
      <c r="U35" s="141">
        <v>2400</v>
      </c>
      <c r="V35" s="141">
        <v>600</v>
      </c>
      <c r="W35" s="141">
        <v>1200</v>
      </c>
      <c r="X35" s="141">
        <v>120</v>
      </c>
      <c r="Y35" s="141">
        <v>2200</v>
      </c>
      <c r="Z35" s="141">
        <v>600</v>
      </c>
      <c r="AA35" s="141">
        <v>300</v>
      </c>
      <c r="AB35" s="141">
        <v>1500</v>
      </c>
      <c r="AC35" s="141">
        <v>0</v>
      </c>
      <c r="AD35" s="141">
        <v>600</v>
      </c>
      <c r="AE35" s="141">
        <v>0</v>
      </c>
      <c r="AF35" s="141">
        <v>1520</v>
      </c>
      <c r="AG35" s="139">
        <f>SUM(R35:AF35)</f>
        <v>32640</v>
      </c>
    </row>
    <row r="36" spans="1:34" s="2" customFormat="1" ht="12" customHeight="1" x14ac:dyDescent="0.2">
      <c r="A36" s="269" t="s">
        <v>384</v>
      </c>
      <c r="C36" s="984" t="s">
        <v>86</v>
      </c>
      <c r="D36" s="984"/>
      <c r="E36" s="984"/>
      <c r="F36" s="984"/>
      <c r="G36" s="984"/>
      <c r="H36" s="984"/>
      <c r="I36" s="984"/>
      <c r="J36" s="984"/>
      <c r="K36" s="984"/>
      <c r="L36" s="984"/>
      <c r="M36" s="984"/>
      <c r="N36" s="46"/>
      <c r="Q36" s="140" t="s">
        <v>570</v>
      </c>
      <c r="R36" s="141">
        <v>28800</v>
      </c>
      <c r="S36" s="141">
        <v>4800</v>
      </c>
      <c r="T36" s="141">
        <v>2400</v>
      </c>
      <c r="U36" s="141">
        <v>3600</v>
      </c>
      <c r="V36" s="141">
        <v>1600</v>
      </c>
      <c r="W36" s="141">
        <v>1600</v>
      </c>
      <c r="X36" s="141">
        <v>300</v>
      </c>
      <c r="Y36" s="141">
        <v>3300</v>
      </c>
      <c r="Z36" s="141">
        <v>750</v>
      </c>
      <c r="AA36" s="141">
        <v>600</v>
      </c>
      <c r="AB36" s="141">
        <v>1500</v>
      </c>
      <c r="AC36" s="141">
        <v>0</v>
      </c>
      <c r="AD36" s="141">
        <v>750</v>
      </c>
      <c r="AE36" s="141">
        <v>0</v>
      </c>
      <c r="AF36" s="141">
        <v>2072</v>
      </c>
      <c r="AG36" s="139">
        <f>SUM(R36:AF36)</f>
        <v>52072</v>
      </c>
    </row>
    <row r="37" spans="1:34" s="2" customFormat="1" ht="12" customHeight="1" x14ac:dyDescent="0.2">
      <c r="A37" s="270" t="s">
        <v>403</v>
      </c>
      <c r="C37" s="901" t="s">
        <v>441</v>
      </c>
      <c r="D37" s="901"/>
      <c r="E37" s="901"/>
      <c r="F37" s="901"/>
      <c r="G37" s="901"/>
      <c r="H37" s="901"/>
      <c r="I37" s="901"/>
      <c r="J37" s="901"/>
      <c r="K37" s="901"/>
      <c r="L37" s="901"/>
      <c r="M37" s="901"/>
      <c r="P37" s="1"/>
      <c r="Q37" s="140" t="s">
        <v>571</v>
      </c>
      <c r="R37" s="141">
        <v>36000</v>
      </c>
      <c r="S37" s="141">
        <v>7200</v>
      </c>
      <c r="T37" s="141">
        <v>3600</v>
      </c>
      <c r="U37" s="141">
        <v>3600</v>
      </c>
      <c r="V37" s="141">
        <v>2400</v>
      </c>
      <c r="W37" s="141">
        <v>3000</v>
      </c>
      <c r="X37" s="141">
        <v>300</v>
      </c>
      <c r="Y37" s="141">
        <v>3300</v>
      </c>
      <c r="Z37" s="141">
        <v>900</v>
      </c>
      <c r="AA37" s="141">
        <v>1000</v>
      </c>
      <c r="AB37" s="141">
        <v>3000</v>
      </c>
      <c r="AC37" s="141">
        <v>0</v>
      </c>
      <c r="AD37" s="141">
        <v>0</v>
      </c>
      <c r="AE37" s="141">
        <v>1400</v>
      </c>
      <c r="AF37" s="141">
        <v>2200</v>
      </c>
      <c r="AG37" s="139">
        <f>SUM(R37:AF37)</f>
        <v>67900</v>
      </c>
    </row>
    <row r="38" spans="1:34" ht="12" customHeight="1" thickBot="1" x14ac:dyDescent="0.25">
      <c r="A38" s="269" t="s">
        <v>385</v>
      </c>
      <c r="B38" s="2"/>
      <c r="C38" s="984" t="s">
        <v>87</v>
      </c>
      <c r="D38" s="984"/>
      <c r="E38" s="984"/>
      <c r="F38" s="984"/>
      <c r="G38" s="984"/>
      <c r="H38" s="984"/>
      <c r="I38" s="984"/>
      <c r="J38" s="984"/>
      <c r="K38" s="984"/>
      <c r="L38" s="984"/>
      <c r="M38" s="984"/>
      <c r="N38" s="2"/>
      <c r="O38" s="2"/>
      <c r="Q38" s="142" t="s">
        <v>575</v>
      </c>
      <c r="R38" s="143">
        <v>50400</v>
      </c>
      <c r="S38" s="143">
        <v>9600</v>
      </c>
      <c r="T38" s="143">
        <v>9600</v>
      </c>
      <c r="U38" s="143">
        <v>4800</v>
      </c>
      <c r="V38" s="143">
        <v>3200</v>
      </c>
      <c r="W38" s="143">
        <v>2400</v>
      </c>
      <c r="X38" s="143">
        <v>240</v>
      </c>
      <c r="Y38" s="143">
        <v>4400</v>
      </c>
      <c r="Z38" s="143">
        <v>1200</v>
      </c>
      <c r="AA38" s="143">
        <v>1500</v>
      </c>
      <c r="AB38" s="143">
        <v>3000</v>
      </c>
      <c r="AC38" s="143">
        <v>0</v>
      </c>
      <c r="AD38" s="143">
        <v>900</v>
      </c>
      <c r="AE38" s="143">
        <v>1610</v>
      </c>
      <c r="AF38" s="143">
        <v>2400</v>
      </c>
      <c r="AG38" s="139">
        <f>SUM(R38:AF38)</f>
        <v>95250</v>
      </c>
    </row>
    <row r="39" spans="1:34" ht="12" customHeight="1" thickBot="1" x14ac:dyDescent="0.25">
      <c r="A39" s="2"/>
      <c r="B39" s="2"/>
      <c r="M39" s="2"/>
      <c r="N39" s="2"/>
      <c r="O39" s="2"/>
      <c r="Q39" s="948" t="s">
        <v>110</v>
      </c>
      <c r="R39" s="949"/>
      <c r="S39" s="949"/>
      <c r="T39" s="949"/>
      <c r="U39" s="949"/>
      <c r="V39" s="949"/>
      <c r="W39" s="949"/>
      <c r="X39" s="949"/>
      <c r="Y39" s="949"/>
      <c r="Z39" s="949"/>
      <c r="AA39" s="949"/>
      <c r="AB39" s="949"/>
      <c r="AC39" s="949"/>
      <c r="AD39" s="949"/>
      <c r="AE39" s="949"/>
      <c r="AF39" s="949"/>
      <c r="AG39" s="950"/>
      <c r="AH39" s="2"/>
    </row>
    <row r="40" spans="1:34" ht="12" customHeight="1" x14ac:dyDescent="0.2">
      <c r="C40" s="894" t="s">
        <v>374</v>
      </c>
      <c r="D40" s="895"/>
      <c r="E40" s="895"/>
      <c r="F40" s="895"/>
      <c r="G40" s="896"/>
      <c r="H40" s="46"/>
      <c r="N40" s="2"/>
      <c r="O40" s="2"/>
      <c r="AF40" s="2"/>
      <c r="AG40" s="2"/>
    </row>
    <row r="41" spans="1:34" ht="12" customHeight="1" thickBot="1" x14ac:dyDescent="0.25">
      <c r="A41" s="53"/>
      <c r="B41" s="53"/>
      <c r="C41" s="897"/>
      <c r="D41" s="898"/>
      <c r="E41" s="898"/>
      <c r="F41" s="898"/>
      <c r="G41" s="899"/>
      <c r="H41" s="456"/>
      <c r="I41" s="46"/>
      <c r="J41" s="46"/>
      <c r="K41" s="46"/>
      <c r="L41" s="46"/>
      <c r="M41" s="2"/>
      <c r="N41" s="2"/>
      <c r="O41" s="2"/>
      <c r="AC41" s="2"/>
      <c r="AD41" s="2"/>
      <c r="AE41" s="2"/>
      <c r="AF41" s="2"/>
      <c r="AG41" s="2"/>
    </row>
    <row r="42" spans="1:34" ht="12" customHeight="1" thickBot="1" x14ac:dyDescent="0.25">
      <c r="A42" s="53"/>
      <c r="B42" s="53"/>
      <c r="C42" s="19" t="s">
        <v>14</v>
      </c>
      <c r="D42" s="551"/>
      <c r="E42" s="587" t="s">
        <v>33</v>
      </c>
      <c r="F42" s="584" t="s">
        <v>64</v>
      </c>
      <c r="G42" s="585" t="s">
        <v>13</v>
      </c>
      <c r="H42" s="2"/>
      <c r="I42" s="2"/>
      <c r="J42" s="2"/>
      <c r="K42" s="2"/>
      <c r="L42" s="2"/>
      <c r="M42" s="2"/>
      <c r="N42" s="2"/>
      <c r="O42" s="2"/>
      <c r="AA42" s="2"/>
      <c r="AB42" s="2"/>
      <c r="AC42" s="2"/>
      <c r="AD42" s="2"/>
      <c r="AE42" s="2"/>
      <c r="AF42" s="2"/>
      <c r="AG42" s="2"/>
    </row>
    <row r="43" spans="1:34" s="2" customFormat="1" ht="12" customHeight="1" x14ac:dyDescent="0.2">
      <c r="C43" s="277" t="s">
        <v>66</v>
      </c>
      <c r="D43" s="776" t="s">
        <v>16</v>
      </c>
      <c r="E43" s="782">
        <v>0</v>
      </c>
      <c r="F43" s="795">
        <v>0</v>
      </c>
      <c r="G43" s="792">
        <f t="shared" ref="G43:G50" si="8">SUM(E43:F43)</f>
        <v>0</v>
      </c>
      <c r="H43" s="768" t="s">
        <v>375</v>
      </c>
    </row>
    <row r="44" spans="1:34" s="2" customFormat="1" ht="12" customHeight="1" thickBot="1" x14ac:dyDescent="0.25">
      <c r="C44" s="277" t="s">
        <v>67</v>
      </c>
      <c r="D44" s="777" t="s">
        <v>18</v>
      </c>
      <c r="E44" s="783">
        <v>0</v>
      </c>
      <c r="F44" s="796">
        <v>0</v>
      </c>
      <c r="G44" s="793">
        <f t="shared" si="8"/>
        <v>0</v>
      </c>
      <c r="H44" s="768" t="s">
        <v>390</v>
      </c>
    </row>
    <row r="45" spans="1:34" s="2" customFormat="1" ht="12" customHeight="1" x14ac:dyDescent="0.2">
      <c r="C45" s="277" t="s">
        <v>68</v>
      </c>
      <c r="D45" s="778" t="s">
        <v>20</v>
      </c>
      <c r="E45" s="783">
        <v>0</v>
      </c>
      <c r="F45" s="796">
        <v>0</v>
      </c>
      <c r="G45" s="793">
        <f t="shared" si="8"/>
        <v>0</v>
      </c>
      <c r="H45" s="768" t="s">
        <v>391</v>
      </c>
      <c r="P45" s="970" t="s">
        <v>282</v>
      </c>
      <c r="Q45" s="951"/>
      <c r="R45" s="951"/>
      <c r="S45" s="951"/>
      <c r="T45" s="971"/>
      <c r="W45" s="122"/>
      <c r="X45" s="122"/>
      <c r="Y45" s="122"/>
      <c r="Z45" s="122"/>
      <c r="AA45" s="18"/>
    </row>
    <row r="46" spans="1:34" s="2" customFormat="1" ht="12" customHeight="1" thickBot="1" x14ac:dyDescent="0.25">
      <c r="C46" s="277" t="s">
        <v>69</v>
      </c>
      <c r="D46" s="777" t="s">
        <v>22</v>
      </c>
      <c r="E46" s="783">
        <v>0</v>
      </c>
      <c r="F46" s="796">
        <v>0</v>
      </c>
      <c r="G46" s="793">
        <f t="shared" si="8"/>
        <v>0</v>
      </c>
      <c r="H46" s="768" t="s">
        <v>392</v>
      </c>
      <c r="P46" s="972"/>
      <c r="Q46" s="891"/>
      <c r="R46" s="891"/>
      <c r="S46" s="891"/>
      <c r="T46" s="973"/>
      <c r="U46" s="122"/>
      <c r="V46" s="122"/>
      <c r="W46" s="122"/>
      <c r="X46" s="122"/>
      <c r="Y46" s="122"/>
      <c r="Z46" s="122"/>
      <c r="AA46" s="18"/>
    </row>
    <row r="47" spans="1:34" s="2" customFormat="1" ht="12" customHeight="1" x14ac:dyDescent="0.2">
      <c r="C47" s="277" t="s">
        <v>70</v>
      </c>
      <c r="D47" s="777" t="s">
        <v>27</v>
      </c>
      <c r="E47" s="783">
        <v>0</v>
      </c>
      <c r="F47" s="796">
        <v>0</v>
      </c>
      <c r="G47" s="793">
        <f t="shared" si="8"/>
        <v>0</v>
      </c>
      <c r="H47" s="768" t="s">
        <v>393</v>
      </c>
      <c r="P47" s="95"/>
      <c r="Q47" s="96"/>
      <c r="R47" s="97" t="s">
        <v>33</v>
      </c>
      <c r="S47" s="97"/>
      <c r="T47" s="97"/>
      <c r="U47" s="122"/>
      <c r="V47" s="122"/>
      <c r="W47" s="122"/>
      <c r="X47" s="122"/>
      <c r="Y47" s="122"/>
      <c r="Z47" s="122"/>
      <c r="AA47" s="18"/>
    </row>
    <row r="48" spans="1:34" s="2" customFormat="1" ht="12" customHeight="1" thickBot="1" x14ac:dyDescent="0.25">
      <c r="C48" s="277" t="s">
        <v>71</v>
      </c>
      <c r="D48" s="777" t="s">
        <v>29</v>
      </c>
      <c r="E48" s="783">
        <v>0</v>
      </c>
      <c r="F48" s="796">
        <v>0</v>
      </c>
      <c r="G48" s="793">
        <f t="shared" si="8"/>
        <v>0</v>
      </c>
      <c r="H48" s="768" t="s">
        <v>394</v>
      </c>
      <c r="P48" s="98" t="s">
        <v>121</v>
      </c>
      <c r="Q48" s="99"/>
      <c r="R48" s="100" t="s">
        <v>122</v>
      </c>
      <c r="S48" s="100" t="s">
        <v>38</v>
      </c>
      <c r="T48" s="99" t="s">
        <v>123</v>
      </c>
      <c r="U48" s="122"/>
      <c r="V48" s="122"/>
      <c r="W48" s="122"/>
      <c r="X48" s="122"/>
      <c r="Y48" s="122"/>
      <c r="Z48" s="122"/>
    </row>
    <row r="49" spans="3:27" s="2" customFormat="1" ht="12" customHeight="1" x14ac:dyDescent="0.2">
      <c r="C49" s="279" t="s">
        <v>72</v>
      </c>
      <c r="D49" s="777" t="s">
        <v>31</v>
      </c>
      <c r="E49" s="783">
        <v>0</v>
      </c>
      <c r="F49" s="796">
        <v>0</v>
      </c>
      <c r="G49" s="793">
        <f t="shared" si="8"/>
        <v>0</v>
      </c>
      <c r="H49" s="768" t="s">
        <v>395</v>
      </c>
      <c r="P49" s="105" t="s">
        <v>583</v>
      </c>
      <c r="Q49" s="22" t="s">
        <v>284</v>
      </c>
      <c r="R49" s="106">
        <v>1</v>
      </c>
      <c r="S49" s="80">
        <f>IF($G$15&lt;=450,R73,(IF($G$15&lt;=800,R74,(IF($G$15&lt;=1200,R75,(IF($G$15&lt;=1600,R76,(IF($G$15&gt;1600,R77)))))))))</f>
        <v>2700</v>
      </c>
      <c r="T49" s="73">
        <f>R49*S49</f>
        <v>2700</v>
      </c>
      <c r="U49" s="60" t="s">
        <v>41</v>
      </c>
      <c r="V49" s="122"/>
      <c r="W49" s="122"/>
      <c r="X49" s="122"/>
      <c r="Y49" s="122"/>
      <c r="Z49" s="122"/>
    </row>
    <row r="50" spans="3:27" s="2" customFormat="1" ht="12" customHeight="1" x14ac:dyDescent="0.2">
      <c r="C50" s="279" t="s">
        <v>73</v>
      </c>
      <c r="D50" s="777" t="s">
        <v>74</v>
      </c>
      <c r="E50" s="783">
        <v>0</v>
      </c>
      <c r="F50" s="796">
        <v>0</v>
      </c>
      <c r="G50" s="793">
        <f t="shared" si="8"/>
        <v>0</v>
      </c>
      <c r="H50" s="768" t="s">
        <v>396</v>
      </c>
      <c r="P50" s="105" t="s">
        <v>584</v>
      </c>
      <c r="Q50" s="22" t="s">
        <v>286</v>
      </c>
      <c r="R50" s="106">
        <v>1</v>
      </c>
      <c r="S50" s="80">
        <f>IF($G$15&lt;=450,S73,(IF($G$15&lt;=800,S74,(IF($G$15&lt;=1200,S75,(IF($G$15&lt;=1600,S76,(IF($G$15&gt;1600,S77)))))))))</f>
        <v>450</v>
      </c>
      <c r="T50" s="73">
        <f>R50*S50</f>
        <v>450</v>
      </c>
      <c r="U50" s="60" t="s">
        <v>36</v>
      </c>
      <c r="V50" s="122"/>
      <c r="W50" s="122"/>
      <c r="X50" s="122"/>
      <c r="Y50" s="122"/>
      <c r="Z50" s="122"/>
    </row>
    <row r="51" spans="3:27" s="2" customFormat="1" ht="12" customHeight="1" x14ac:dyDescent="0.2">
      <c r="C51" s="279" t="s">
        <v>75</v>
      </c>
      <c r="D51" s="777" t="s">
        <v>0</v>
      </c>
      <c r="E51" s="783">
        <v>0</v>
      </c>
      <c r="F51" s="796">
        <v>0</v>
      </c>
      <c r="G51" s="793">
        <f t="shared" ref="G51" si="9">SUM(E51:F51)</f>
        <v>0</v>
      </c>
      <c r="H51" s="768" t="s">
        <v>397</v>
      </c>
      <c r="P51" s="105" t="s">
        <v>585</v>
      </c>
      <c r="Q51" s="22" t="s">
        <v>288</v>
      </c>
      <c r="R51" s="106">
        <v>1</v>
      </c>
      <c r="S51" s="80">
        <f>IF($G$15&lt;=450,T73,(IF($G$15&lt;=800,T74,(IF($G$15&lt;=1200,T75,(IF($G$15&lt;=1600,T76,(IF($G$15&gt;1600,T77)))))))))</f>
        <v>300</v>
      </c>
      <c r="T51" s="73">
        <f>R51*S51</f>
        <v>300</v>
      </c>
      <c r="U51" s="60"/>
      <c r="V51" s="122"/>
      <c r="W51" s="122"/>
      <c r="X51" s="122"/>
      <c r="Y51" s="122"/>
      <c r="Z51" s="122"/>
    </row>
    <row r="52" spans="3:27" s="2" customFormat="1" ht="12" customHeight="1" x14ac:dyDescent="0.2">
      <c r="C52" s="277" t="s">
        <v>76</v>
      </c>
      <c r="D52" s="779" t="s">
        <v>2</v>
      </c>
      <c r="E52" s="783">
        <v>0</v>
      </c>
      <c r="F52" s="796">
        <v>0</v>
      </c>
      <c r="G52" s="793">
        <f>SUM(E52:F52)</f>
        <v>0</v>
      </c>
      <c r="H52" s="769" t="s">
        <v>398</v>
      </c>
      <c r="I52" s="15"/>
      <c r="P52" s="105" t="s">
        <v>586</v>
      </c>
      <c r="Q52" s="22" t="s">
        <v>290</v>
      </c>
      <c r="R52" s="106">
        <v>1</v>
      </c>
      <c r="S52" s="80">
        <f>IF($G$15&lt;=450,U73,(IF($G$15&lt;=800,U74,(IF($G$15&lt;=1200,U75,(IF($G$15&lt;=1600,U76,(IF($G$15&gt;1600,U77)))))))))</f>
        <v>2700</v>
      </c>
      <c r="T52" s="73">
        <f>R52*S52</f>
        <v>2700</v>
      </c>
      <c r="U52" s="60" t="s">
        <v>39</v>
      </c>
      <c r="V52" s="122"/>
      <c r="W52" s="122"/>
      <c r="X52" s="122"/>
      <c r="Y52" s="122"/>
      <c r="Z52" s="122"/>
      <c r="AA52" s="18"/>
    </row>
    <row r="53" spans="3:27" s="2" customFormat="1" ht="12" customHeight="1" x14ac:dyDescent="0.2">
      <c r="C53" s="277" t="s">
        <v>77</v>
      </c>
      <c r="D53" s="777" t="s">
        <v>4</v>
      </c>
      <c r="E53" s="783">
        <v>0</v>
      </c>
      <c r="F53" s="796">
        <v>0</v>
      </c>
      <c r="G53" s="793">
        <f>SUM(E53:F53)</f>
        <v>0</v>
      </c>
      <c r="H53" s="769" t="s">
        <v>399</v>
      </c>
      <c r="I53" s="15"/>
      <c r="P53" s="105" t="s">
        <v>587</v>
      </c>
      <c r="Q53" s="145" t="s">
        <v>292</v>
      </c>
      <c r="R53" s="146">
        <v>1</v>
      </c>
      <c r="S53" s="147">
        <f>IF($G$15&lt;=450,V73,(IF($G$15&lt;=800,V74,(IF($G$15&lt;=1200,V75,(IF($G$15&lt;=1600,V76,(IF($G$15&gt;1600,V77)))))))))</f>
        <v>1800</v>
      </c>
      <c r="T53" s="74">
        <f>R53*S53</f>
        <v>1800</v>
      </c>
      <c r="U53" s="122"/>
      <c r="V53" s="122"/>
      <c r="W53" s="122"/>
      <c r="X53" s="122"/>
      <c r="Y53" s="122"/>
      <c r="Z53" s="122"/>
      <c r="AA53" s="18"/>
    </row>
    <row r="54" spans="3:27" s="2" customFormat="1" ht="12" customHeight="1" x14ac:dyDescent="0.2">
      <c r="C54" s="277" t="s">
        <v>78</v>
      </c>
      <c r="D54" s="780" t="s">
        <v>6</v>
      </c>
      <c r="E54" s="783">
        <v>0</v>
      </c>
      <c r="F54" s="796">
        <v>0</v>
      </c>
      <c r="G54" s="793">
        <f>SUM(E54:F54)</f>
        <v>0</v>
      </c>
      <c r="H54" s="769" t="s">
        <v>400</v>
      </c>
      <c r="I54" s="15"/>
      <c r="P54" s="101"/>
      <c r="Q54" s="22"/>
      <c r="R54" s="80"/>
      <c r="S54" s="80"/>
      <c r="T54" s="73"/>
      <c r="U54" s="122"/>
      <c r="V54" s="122"/>
      <c r="W54" s="122"/>
      <c r="X54" s="122"/>
      <c r="Y54" s="122"/>
      <c r="Z54" s="122"/>
      <c r="AA54" s="18"/>
    </row>
    <row r="55" spans="3:27" s="2" customFormat="1" ht="12" customHeight="1" thickBot="1" x14ac:dyDescent="0.25">
      <c r="C55" s="277" t="s">
        <v>79</v>
      </c>
      <c r="D55" s="780" t="s">
        <v>8</v>
      </c>
      <c r="E55" s="783">
        <v>0</v>
      </c>
      <c r="F55" s="796">
        <v>0</v>
      </c>
      <c r="G55" s="793">
        <f>SUM(E55:F55)</f>
        <v>0</v>
      </c>
      <c r="H55" s="769" t="s">
        <v>401</v>
      </c>
      <c r="I55" s="15"/>
      <c r="P55" s="113" t="s">
        <v>293</v>
      </c>
      <c r="Q55" s="114"/>
      <c r="R55" s="148"/>
      <c r="S55" s="148"/>
      <c r="T55" s="116">
        <f>SUM(T49:T53)</f>
        <v>7950</v>
      </c>
      <c r="U55" s="122"/>
      <c r="V55" s="122"/>
      <c r="W55" s="122"/>
      <c r="X55" s="122"/>
      <c r="Y55" s="122"/>
      <c r="Z55" s="122"/>
      <c r="AA55" s="18"/>
    </row>
    <row r="56" spans="3:27" s="2" customFormat="1" ht="12" customHeight="1" thickTop="1" thickBot="1" x14ac:dyDescent="0.25">
      <c r="C56" s="277" t="s">
        <v>80</v>
      </c>
      <c r="D56" s="781" t="s">
        <v>10</v>
      </c>
      <c r="E56" s="784">
        <v>0</v>
      </c>
      <c r="F56" s="797">
        <v>0</v>
      </c>
      <c r="G56" s="794">
        <f>SUM(E56:F56)</f>
        <v>0</v>
      </c>
      <c r="H56" s="769" t="s">
        <v>404</v>
      </c>
      <c r="I56" s="15"/>
      <c r="P56" s="18"/>
      <c r="Q56" s="32"/>
      <c r="R56" s="32"/>
      <c r="S56" s="32"/>
      <c r="T56" s="122"/>
      <c r="U56" s="122"/>
      <c r="V56" s="122"/>
      <c r="W56" s="122"/>
      <c r="X56" s="122"/>
      <c r="Y56" s="122"/>
      <c r="Z56" s="122"/>
      <c r="AA56" s="18"/>
    </row>
    <row r="57" spans="3:27" s="2" customFormat="1" ht="12" customHeight="1" thickBot="1" x14ac:dyDescent="0.25">
      <c r="C57" s="25" t="s">
        <v>387</v>
      </c>
      <c r="D57" s="49"/>
      <c r="E57" s="75">
        <f>SUM(E43:E56)</f>
        <v>0</v>
      </c>
      <c r="F57" s="76">
        <f>SUM(F43:F56)</f>
        <v>0</v>
      </c>
      <c r="G57" s="75">
        <f>SUM(G43:G56)</f>
        <v>0</v>
      </c>
      <c r="H57" s="769"/>
      <c r="P57" s="945" t="s">
        <v>294</v>
      </c>
      <c r="Q57" s="946"/>
      <c r="R57" s="946"/>
      <c r="S57" s="946"/>
      <c r="T57" s="946"/>
      <c r="U57" s="946"/>
      <c r="V57" s="947"/>
      <c r="W57" s="122"/>
      <c r="X57" s="122"/>
      <c r="Y57" s="122"/>
      <c r="Z57" s="122"/>
      <c r="AA57" s="18"/>
    </row>
    <row r="58" spans="3:27" s="2" customFormat="1" ht="12" customHeight="1" thickBot="1" x14ac:dyDescent="0.25">
      <c r="C58" s="86"/>
      <c r="E58" s="261"/>
      <c r="G58" s="261"/>
      <c r="H58" s="770"/>
      <c r="P58" s="149" t="s">
        <v>23</v>
      </c>
      <c r="Q58" s="150" t="s">
        <v>24</v>
      </c>
      <c r="R58" s="151"/>
      <c r="S58" s="151"/>
      <c r="T58" s="151"/>
      <c r="U58" s="151"/>
      <c r="V58" s="152"/>
      <c r="W58" s="122"/>
      <c r="X58" s="122"/>
      <c r="Y58" s="122"/>
      <c r="Z58" s="122"/>
      <c r="AA58" s="18"/>
    </row>
    <row r="59" spans="3:27" s="2" customFormat="1" ht="12" customHeight="1" x14ac:dyDescent="0.2">
      <c r="C59" s="267" t="s">
        <v>389</v>
      </c>
      <c r="E59" s="281">
        <v>0</v>
      </c>
      <c r="F59" s="282">
        <v>0</v>
      </c>
      <c r="G59" s="262">
        <f>SUM(E59:F59)</f>
        <v>0</v>
      </c>
      <c r="H59" s="769" t="s">
        <v>405</v>
      </c>
      <c r="P59" s="68">
        <v>1</v>
      </c>
      <c r="Q59" s="153" t="s">
        <v>295</v>
      </c>
      <c r="R59" s="154"/>
      <c r="S59" s="154"/>
      <c r="T59" s="154"/>
      <c r="U59" s="154"/>
      <c r="V59" s="155"/>
      <c r="W59" s="122"/>
      <c r="X59" s="122"/>
      <c r="Y59" s="122"/>
      <c r="Z59" s="122"/>
      <c r="AA59" s="18"/>
    </row>
    <row r="60" spans="3:27" s="2" customFormat="1" ht="12" customHeight="1" x14ac:dyDescent="0.2">
      <c r="C60" s="268"/>
      <c r="D60" s="69"/>
      <c r="E60" s="75"/>
      <c r="F60" s="76"/>
      <c r="G60" s="75"/>
      <c r="H60" s="770"/>
      <c r="P60" s="68"/>
      <c r="Q60" s="156" t="s">
        <v>296</v>
      </c>
      <c r="R60" s="157"/>
      <c r="S60" s="157"/>
      <c r="T60" s="157"/>
      <c r="U60" s="157"/>
      <c r="V60" s="158"/>
      <c r="W60" s="122"/>
      <c r="X60" s="122"/>
      <c r="Y60" s="122"/>
      <c r="Z60" s="122"/>
      <c r="AA60" s="18"/>
    </row>
    <row r="61" spans="3:27" s="2" customFormat="1" ht="12" customHeight="1" x14ac:dyDescent="0.2">
      <c r="C61" s="263" t="s">
        <v>388</v>
      </c>
      <c r="D61" s="264"/>
      <c r="E61" s="265">
        <f>IF(E59=0,0,(E59-E57)/E59)</f>
        <v>0</v>
      </c>
      <c r="F61" s="266">
        <f>IF(F59=0,0,(F59-F57)/F59)</f>
        <v>0</v>
      </c>
      <c r="G61" s="265">
        <f>IF(G59=0,0,(G59-G57)/G59)</f>
        <v>0</v>
      </c>
      <c r="H61" s="769"/>
      <c r="P61" s="68">
        <v>2</v>
      </c>
      <c r="Q61" s="156" t="s">
        <v>297</v>
      </c>
      <c r="R61" s="157"/>
      <c r="S61" s="157"/>
      <c r="T61" s="157"/>
      <c r="U61" s="157"/>
      <c r="V61" s="158"/>
      <c r="W61" s="122"/>
      <c r="X61" s="122"/>
      <c r="Y61" s="122"/>
      <c r="Z61" s="122"/>
      <c r="AA61" s="18"/>
    </row>
    <row r="62" spans="3:27" s="2" customFormat="1" ht="12" customHeight="1" x14ac:dyDescent="0.2">
      <c r="C62" s="61" t="s">
        <v>65</v>
      </c>
      <c r="D62" s="257"/>
      <c r="E62" s="76"/>
      <c r="F62" s="283">
        <v>0</v>
      </c>
      <c r="G62" s="62" t="s">
        <v>40</v>
      </c>
      <c r="H62" s="769" t="s">
        <v>406</v>
      </c>
      <c r="P62" s="68"/>
      <c r="Q62" s="156" t="s">
        <v>298</v>
      </c>
      <c r="R62" s="156"/>
      <c r="S62" s="156"/>
      <c r="T62" s="159"/>
      <c r="U62" s="159"/>
      <c r="V62" s="160"/>
      <c r="W62" s="122"/>
      <c r="X62" s="122"/>
      <c r="Y62" s="122"/>
      <c r="Z62" s="122"/>
      <c r="AA62" s="18"/>
    </row>
    <row r="63" spans="3:27" s="2" customFormat="1" ht="12" customHeight="1" thickBot="1" x14ac:dyDescent="0.25">
      <c r="C63" s="256" t="s">
        <v>25</v>
      </c>
      <c r="D63" s="257"/>
      <c r="E63" s="76"/>
      <c r="F63" s="77">
        <f>F59-F62</f>
        <v>0</v>
      </c>
      <c r="G63" s="63" t="s">
        <v>40</v>
      </c>
      <c r="H63" s="3"/>
      <c r="P63" s="68">
        <v>3</v>
      </c>
      <c r="Q63" s="156" t="s">
        <v>299</v>
      </c>
      <c r="R63" s="156"/>
      <c r="S63" s="156"/>
      <c r="T63" s="159"/>
      <c r="U63" s="159"/>
      <c r="V63" s="160"/>
      <c r="W63" s="157"/>
      <c r="X63" s="117"/>
      <c r="Y63" s="117"/>
      <c r="Z63" s="117"/>
      <c r="AA63" s="117"/>
    </row>
    <row r="64" spans="3:27" s="2" customFormat="1" ht="12" customHeight="1" thickBot="1" x14ac:dyDescent="0.25">
      <c r="C64" s="64" t="s">
        <v>11</v>
      </c>
      <c r="D64" s="65"/>
      <c r="E64" s="69"/>
      <c r="F64" s="47"/>
      <c r="G64" s="78">
        <f>E59+F63</f>
        <v>0</v>
      </c>
      <c r="H64" s="278"/>
      <c r="P64" s="68"/>
      <c r="Q64" s="156" t="s">
        <v>300</v>
      </c>
      <c r="R64" s="156"/>
      <c r="S64" s="156"/>
      <c r="T64" s="159"/>
      <c r="U64" s="159"/>
      <c r="V64" s="160"/>
      <c r="W64" s="157"/>
      <c r="X64" s="117"/>
      <c r="Y64" s="117"/>
      <c r="Z64" s="117"/>
      <c r="AA64" s="117"/>
    </row>
    <row r="65" spans="1:30" s="2" customFormat="1" ht="12" customHeight="1" thickBot="1" x14ac:dyDescent="0.25">
      <c r="C65" s="66" t="s">
        <v>12</v>
      </c>
      <c r="D65" s="67"/>
      <c r="E65" s="79"/>
      <c r="F65" s="72"/>
      <c r="G65" s="93">
        <f ca="1">G64-G19</f>
        <v>-374400</v>
      </c>
      <c r="H65" s="3"/>
      <c r="P65" s="68"/>
      <c r="Q65" s="156" t="s">
        <v>301</v>
      </c>
      <c r="R65" s="156"/>
      <c r="S65" s="156"/>
      <c r="T65" s="159"/>
      <c r="U65" s="159"/>
      <c r="V65" s="160"/>
      <c r="W65" s="157"/>
      <c r="X65" s="117"/>
      <c r="Y65" s="117"/>
      <c r="Z65" s="117"/>
      <c r="AA65" s="117"/>
    </row>
    <row r="66" spans="1:30" s="2" customFormat="1" ht="12" customHeight="1" x14ac:dyDescent="0.2">
      <c r="P66" s="68"/>
      <c r="Q66" s="156" t="s">
        <v>302</v>
      </c>
      <c r="R66" s="156"/>
      <c r="S66" s="156"/>
      <c r="T66" s="159"/>
      <c r="U66" s="159"/>
      <c r="V66" s="160"/>
      <c r="W66" s="157"/>
      <c r="X66" s="117"/>
      <c r="Y66" s="117"/>
      <c r="Z66" s="117"/>
      <c r="AA66" s="117"/>
    </row>
    <row r="67" spans="1:30" s="2" customFormat="1" ht="12" customHeight="1" x14ac:dyDescent="0.2">
      <c r="A67" s="269" t="s">
        <v>386</v>
      </c>
      <c r="C67" s="984" t="s">
        <v>913</v>
      </c>
      <c r="D67" s="984"/>
      <c r="E67" s="984"/>
      <c r="F67" s="984"/>
      <c r="G67" s="984"/>
      <c r="H67" s="984"/>
      <c r="I67" s="984"/>
      <c r="J67" s="984"/>
      <c r="K67" s="984"/>
      <c r="L67" s="984"/>
      <c r="M67" s="984"/>
      <c r="P67" s="54"/>
      <c r="Q67" s="161"/>
      <c r="R67" s="161"/>
      <c r="S67" s="161"/>
      <c r="T67" s="161"/>
      <c r="U67" s="161"/>
      <c r="V67" s="162"/>
      <c r="W67" s="159"/>
      <c r="X67" s="122"/>
      <c r="Y67" s="122"/>
      <c r="Z67" s="122"/>
      <c r="AA67" s="117"/>
    </row>
    <row r="68" spans="1:30" s="2" customFormat="1" ht="12" customHeight="1" x14ac:dyDescent="0.2">
      <c r="A68" s="269" t="s">
        <v>407</v>
      </c>
      <c r="C68" s="984" t="s">
        <v>914</v>
      </c>
      <c r="D68" s="984"/>
      <c r="E68" s="984"/>
      <c r="F68" s="984"/>
      <c r="G68" s="984"/>
      <c r="H68" s="984"/>
      <c r="I68" s="984"/>
      <c r="J68" s="984"/>
      <c r="K68" s="984"/>
      <c r="L68" s="984"/>
      <c r="M68" s="984"/>
      <c r="P68" s="54"/>
      <c r="Q68" s="156" t="s">
        <v>303</v>
      </c>
      <c r="R68" s="161"/>
      <c r="S68" s="161"/>
      <c r="T68" s="161"/>
      <c r="U68" s="161"/>
      <c r="V68" s="162"/>
      <c r="W68" s="159"/>
      <c r="X68" s="122"/>
      <c r="Y68" s="122"/>
      <c r="Z68" s="122"/>
      <c r="AA68" s="117"/>
    </row>
    <row r="69" spans="1:30" s="2" customFormat="1" ht="12" customHeight="1" thickBot="1" x14ac:dyDescent="0.25">
      <c r="A69" s="269" t="s">
        <v>408</v>
      </c>
      <c r="C69" s="984" t="s">
        <v>915</v>
      </c>
      <c r="D69" s="984"/>
      <c r="E69" s="984"/>
      <c r="F69" s="984"/>
      <c r="G69" s="984"/>
      <c r="H69" s="984"/>
      <c r="I69" s="984"/>
      <c r="J69" s="984"/>
      <c r="K69" s="984"/>
      <c r="L69" s="984"/>
      <c r="M69" s="984"/>
      <c r="P69" s="163"/>
      <c r="Q69" s="164" t="s">
        <v>424</v>
      </c>
      <c r="R69" s="165"/>
      <c r="S69" s="165"/>
      <c r="T69" s="165"/>
      <c r="U69" s="165"/>
      <c r="V69" s="166"/>
    </row>
    <row r="70" spans="1:30" s="2" customFormat="1" ht="12" customHeight="1" thickBot="1" x14ac:dyDescent="0.25">
      <c r="A70" s="269" t="s">
        <v>409</v>
      </c>
      <c r="C70" s="984" t="s">
        <v>916</v>
      </c>
      <c r="D70" s="984"/>
      <c r="E70" s="984"/>
      <c r="F70" s="984"/>
      <c r="G70" s="984"/>
      <c r="H70" s="984"/>
      <c r="I70" s="984"/>
      <c r="J70" s="984"/>
      <c r="K70" s="984"/>
      <c r="L70" s="984"/>
      <c r="M70" s="984"/>
      <c r="W70" s="122"/>
      <c r="X70" s="122"/>
      <c r="Y70" s="122"/>
      <c r="Z70" s="122"/>
      <c r="AA70" s="122"/>
      <c r="AB70" s="122"/>
      <c r="AC70" s="122"/>
      <c r="AD70" s="122"/>
    </row>
    <row r="71" spans="1:30" s="2" customFormat="1" ht="12" customHeight="1" thickBot="1" x14ac:dyDescent="0.25">
      <c r="A71" s="269" t="s">
        <v>418</v>
      </c>
      <c r="C71" s="984" t="s">
        <v>917</v>
      </c>
      <c r="D71" s="984"/>
      <c r="E71" s="984"/>
      <c r="F71" s="984"/>
      <c r="G71" s="984"/>
      <c r="H71" s="984"/>
      <c r="I71" s="984"/>
      <c r="J71" s="984"/>
      <c r="K71" s="984"/>
      <c r="L71" s="984"/>
      <c r="M71" s="984"/>
      <c r="Q71" s="945" t="s">
        <v>102</v>
      </c>
      <c r="R71" s="946"/>
      <c r="S71" s="946"/>
      <c r="T71" s="946"/>
      <c r="U71" s="946"/>
      <c r="V71" s="946"/>
      <c r="W71" s="947"/>
      <c r="X71" s="122"/>
      <c r="Y71" s="122"/>
      <c r="Z71" s="122"/>
      <c r="AA71" s="122"/>
      <c r="AB71" s="122"/>
      <c r="AC71" s="122"/>
      <c r="AD71" s="122"/>
    </row>
    <row r="72" spans="1:30" s="2" customFormat="1" ht="12" customHeight="1" thickBot="1" x14ac:dyDescent="0.25">
      <c r="A72" s="269" t="s">
        <v>412</v>
      </c>
      <c r="C72" s="984" t="s">
        <v>918</v>
      </c>
      <c r="D72" s="984"/>
      <c r="E72" s="984"/>
      <c r="F72" s="984"/>
      <c r="G72" s="984"/>
      <c r="H72" s="984"/>
      <c r="I72" s="984"/>
      <c r="J72" s="984"/>
      <c r="K72" s="984"/>
      <c r="L72" s="984"/>
      <c r="M72" s="984"/>
      <c r="Q72" s="134" t="s">
        <v>103</v>
      </c>
      <c r="R72" s="135" t="s">
        <v>304</v>
      </c>
      <c r="S72" s="135" t="s">
        <v>305</v>
      </c>
      <c r="T72" s="135" t="s">
        <v>306</v>
      </c>
      <c r="U72" s="135" t="s">
        <v>307</v>
      </c>
      <c r="V72" s="135" t="s">
        <v>308</v>
      </c>
      <c r="W72" s="136" t="s">
        <v>179</v>
      </c>
      <c r="X72" s="122"/>
      <c r="Y72" s="122"/>
      <c r="Z72" s="122"/>
      <c r="AA72" s="122"/>
      <c r="AB72" s="122"/>
      <c r="AC72" s="122"/>
      <c r="AD72" s="122"/>
    </row>
    <row r="73" spans="1:30" s="2" customFormat="1" ht="12" customHeight="1" x14ac:dyDescent="0.2">
      <c r="A73" s="269" t="s">
        <v>413</v>
      </c>
      <c r="C73" s="984" t="s">
        <v>919</v>
      </c>
      <c r="D73" s="984"/>
      <c r="E73" s="984"/>
      <c r="F73" s="984"/>
      <c r="G73" s="984"/>
      <c r="H73" s="984"/>
      <c r="I73" s="984"/>
      <c r="J73" s="984"/>
      <c r="K73" s="984"/>
      <c r="L73" s="984"/>
      <c r="M73" s="984"/>
      <c r="Q73" s="137" t="s">
        <v>458</v>
      </c>
      <c r="R73" s="138">
        <v>900</v>
      </c>
      <c r="S73" s="138">
        <v>300</v>
      </c>
      <c r="T73" s="138">
        <v>100</v>
      </c>
      <c r="U73" s="138">
        <v>900</v>
      </c>
      <c r="V73" s="138">
        <v>0</v>
      </c>
      <c r="W73" s="139">
        <f>SUM(R73:V73)</f>
        <v>2200</v>
      </c>
      <c r="X73" s="122"/>
      <c r="Y73" s="122"/>
      <c r="Z73" s="122"/>
      <c r="AA73" s="122"/>
      <c r="AB73" s="122"/>
      <c r="AC73" s="122"/>
      <c r="AD73" s="122"/>
    </row>
    <row r="74" spans="1:30" s="2" customFormat="1" ht="12" customHeight="1" x14ac:dyDescent="0.2">
      <c r="A74" s="269" t="s">
        <v>414</v>
      </c>
      <c r="C74" s="984" t="s">
        <v>920</v>
      </c>
      <c r="D74" s="984"/>
      <c r="E74" s="984"/>
      <c r="F74" s="984"/>
      <c r="G74" s="984"/>
      <c r="H74" s="984"/>
      <c r="I74" s="984"/>
      <c r="J74" s="984"/>
      <c r="K74" s="984"/>
      <c r="L74" s="984"/>
      <c r="M74" s="984"/>
      <c r="Q74" s="140" t="s">
        <v>569</v>
      </c>
      <c r="R74" s="141">
        <v>1800</v>
      </c>
      <c r="S74" s="141">
        <v>300</v>
      </c>
      <c r="T74" s="141">
        <v>100</v>
      </c>
      <c r="U74" s="141">
        <v>900</v>
      </c>
      <c r="V74" s="141">
        <v>0</v>
      </c>
      <c r="W74" s="139">
        <f t="shared" ref="W74:W77" si="10">SUM(R74:V74)</f>
        <v>3100</v>
      </c>
      <c r="X74" s="122"/>
      <c r="Y74" s="122"/>
      <c r="Z74" s="122"/>
      <c r="AA74" s="122"/>
      <c r="AB74" s="122"/>
      <c r="AC74" s="122"/>
      <c r="AD74" s="122"/>
    </row>
    <row r="75" spans="1:30" s="2" customFormat="1" ht="12" customHeight="1" x14ac:dyDescent="0.2">
      <c r="A75" s="269" t="s">
        <v>415</v>
      </c>
      <c r="C75" s="984" t="s">
        <v>921</v>
      </c>
      <c r="D75" s="984"/>
      <c r="E75" s="984"/>
      <c r="F75" s="984"/>
      <c r="G75" s="984"/>
      <c r="H75" s="984"/>
      <c r="I75" s="984"/>
      <c r="J75" s="984"/>
      <c r="K75" s="984"/>
      <c r="L75" s="984"/>
      <c r="M75" s="984"/>
      <c r="Q75" s="140" t="s">
        <v>570</v>
      </c>
      <c r="R75" s="141">
        <v>1800</v>
      </c>
      <c r="S75" s="141">
        <v>300</v>
      </c>
      <c r="T75" s="141">
        <v>200</v>
      </c>
      <c r="U75" s="141">
        <v>900</v>
      </c>
      <c r="V75" s="141">
        <v>1200</v>
      </c>
      <c r="W75" s="139">
        <f t="shared" si="10"/>
        <v>4400</v>
      </c>
      <c r="X75" s="122"/>
      <c r="Y75" s="122"/>
      <c r="Z75" s="122"/>
      <c r="AA75" s="122"/>
      <c r="AB75" s="122"/>
      <c r="AC75" s="122"/>
      <c r="AD75" s="122"/>
    </row>
    <row r="76" spans="1:30" s="2" customFormat="1" ht="12" customHeight="1" x14ac:dyDescent="0.2">
      <c r="A76" s="269" t="s">
        <v>416</v>
      </c>
      <c r="C76" s="984" t="s">
        <v>922</v>
      </c>
      <c r="D76" s="984"/>
      <c r="E76" s="984"/>
      <c r="F76" s="984"/>
      <c r="G76" s="984"/>
      <c r="H76" s="984"/>
      <c r="I76" s="984"/>
      <c r="J76" s="984"/>
      <c r="K76" s="984"/>
      <c r="L76" s="984"/>
      <c r="M76" s="984"/>
      <c r="Q76" s="140" t="s">
        <v>571</v>
      </c>
      <c r="R76" s="141">
        <v>1800</v>
      </c>
      <c r="S76" s="141">
        <v>300</v>
      </c>
      <c r="T76" s="141">
        <v>200</v>
      </c>
      <c r="U76" s="141">
        <v>1800</v>
      </c>
      <c r="V76" s="141">
        <v>1800</v>
      </c>
      <c r="W76" s="139">
        <f t="shared" si="10"/>
        <v>5900</v>
      </c>
      <c r="X76" s="122"/>
      <c r="Y76" s="122"/>
      <c r="Z76" s="122"/>
      <c r="AA76" s="122"/>
      <c r="AB76" s="122"/>
      <c r="AC76" s="122"/>
      <c r="AD76" s="122"/>
    </row>
    <row r="77" spans="1:30" s="2" customFormat="1" ht="12" customHeight="1" thickBot="1" x14ac:dyDescent="0.25">
      <c r="A77" s="269" t="s">
        <v>417</v>
      </c>
      <c r="C77" s="984" t="s">
        <v>923</v>
      </c>
      <c r="D77" s="984"/>
      <c r="E77" s="984"/>
      <c r="F77" s="984"/>
      <c r="G77" s="984"/>
      <c r="H77" s="984"/>
      <c r="I77" s="984"/>
      <c r="J77" s="984"/>
      <c r="K77" s="984"/>
      <c r="L77" s="984"/>
      <c r="M77" s="984"/>
      <c r="Q77" s="142" t="s">
        <v>575</v>
      </c>
      <c r="R77" s="141">
        <v>2700</v>
      </c>
      <c r="S77" s="141">
        <v>450</v>
      </c>
      <c r="T77" s="141">
        <v>300</v>
      </c>
      <c r="U77" s="141">
        <v>2700</v>
      </c>
      <c r="V77" s="141">
        <v>1800</v>
      </c>
      <c r="W77" s="139">
        <f t="shared" si="10"/>
        <v>7950</v>
      </c>
      <c r="X77" s="122"/>
      <c r="Y77" s="122"/>
      <c r="Z77" s="122"/>
      <c r="AA77" s="122"/>
      <c r="AB77" s="122"/>
      <c r="AC77" s="122"/>
      <c r="AD77" s="122"/>
    </row>
    <row r="78" spans="1:30" s="2" customFormat="1" ht="12" customHeight="1" thickBot="1" x14ac:dyDescent="0.25">
      <c r="A78" s="269" t="s">
        <v>419</v>
      </c>
      <c r="C78" s="984" t="s">
        <v>924</v>
      </c>
      <c r="D78" s="984"/>
      <c r="E78" s="984"/>
      <c r="F78" s="984"/>
      <c r="G78" s="984"/>
      <c r="H78" s="984"/>
      <c r="I78" s="984"/>
      <c r="J78" s="984"/>
      <c r="K78" s="984"/>
      <c r="L78" s="984"/>
      <c r="M78" s="984"/>
      <c r="O78" s="1"/>
      <c r="Q78" s="948" t="s">
        <v>110</v>
      </c>
      <c r="R78" s="949"/>
      <c r="S78" s="949"/>
      <c r="T78" s="949"/>
      <c r="U78" s="949"/>
      <c r="V78" s="949"/>
      <c r="W78" s="950"/>
      <c r="X78" s="122"/>
      <c r="Y78" s="122"/>
      <c r="Z78" s="122"/>
      <c r="AA78" s="122"/>
      <c r="AB78" s="122"/>
      <c r="AC78" s="122"/>
      <c r="AD78" s="122"/>
    </row>
    <row r="79" spans="1:30" s="2" customFormat="1" ht="12" customHeight="1" thickBot="1" x14ac:dyDescent="0.25">
      <c r="A79" s="269" t="s">
        <v>420</v>
      </c>
      <c r="C79" s="984" t="s">
        <v>925</v>
      </c>
      <c r="D79" s="984"/>
      <c r="E79" s="984"/>
      <c r="F79" s="984"/>
      <c r="G79" s="984"/>
      <c r="H79" s="984"/>
      <c r="I79" s="984"/>
      <c r="J79" s="984"/>
      <c r="K79" s="984"/>
      <c r="L79" s="984"/>
      <c r="M79" s="984"/>
      <c r="X79" s="122"/>
      <c r="Y79" s="122"/>
      <c r="Z79" s="122"/>
      <c r="AA79" s="122"/>
      <c r="AB79" s="122"/>
      <c r="AC79" s="122"/>
      <c r="AD79" s="122"/>
    </row>
    <row r="80" spans="1:30" s="2" customFormat="1" ht="12" customHeight="1" x14ac:dyDescent="0.2">
      <c r="A80" s="269" t="s">
        <v>433</v>
      </c>
      <c r="C80" s="984" t="s">
        <v>926</v>
      </c>
      <c r="D80" s="984"/>
      <c r="E80" s="984"/>
      <c r="F80" s="984"/>
      <c r="G80" s="984"/>
      <c r="H80" s="984"/>
      <c r="I80" s="984"/>
      <c r="J80" s="984"/>
      <c r="K80" s="984"/>
      <c r="L80" s="984"/>
      <c r="M80" s="984"/>
      <c r="P80" s="887" t="s">
        <v>22</v>
      </c>
      <c r="Q80" s="888"/>
      <c r="R80" s="888"/>
      <c r="S80" s="888"/>
      <c r="T80" s="889"/>
      <c r="W80" s="122"/>
      <c r="X80" s="122"/>
      <c r="Y80" s="122"/>
      <c r="Z80" s="122"/>
      <c r="AA80" s="122"/>
      <c r="AB80" s="122"/>
      <c r="AC80" s="122"/>
      <c r="AD80" s="122"/>
    </row>
    <row r="81" spans="1:30" s="2" customFormat="1" ht="12" customHeight="1" thickBot="1" x14ac:dyDescent="0.25">
      <c r="A81" s="269" t="s">
        <v>434</v>
      </c>
      <c r="B81" s="1"/>
      <c r="C81" s="900" t="s">
        <v>421</v>
      </c>
      <c r="D81" s="900"/>
      <c r="E81" s="900"/>
      <c r="F81" s="900"/>
      <c r="G81" s="900"/>
      <c r="H81" s="900"/>
      <c r="I81" s="900"/>
      <c r="J81" s="900"/>
      <c r="K81" s="900"/>
      <c r="L81" s="900"/>
      <c r="M81" s="900"/>
      <c r="P81" s="890"/>
      <c r="Q81" s="891"/>
      <c r="R81" s="891"/>
      <c r="S81" s="891"/>
      <c r="T81" s="892"/>
      <c r="U81" s="122"/>
      <c r="W81" s="122"/>
      <c r="X81" s="122"/>
      <c r="Y81" s="122"/>
      <c r="Z81" s="122"/>
      <c r="AA81" s="122"/>
      <c r="AB81" s="122"/>
      <c r="AC81" s="122"/>
      <c r="AD81" s="122"/>
    </row>
    <row r="82" spans="1:30" s="2" customFormat="1" ht="12" customHeight="1" x14ac:dyDescent="0.2">
      <c r="A82" s="269" t="s">
        <v>435</v>
      </c>
      <c r="C82" s="900" t="s">
        <v>426</v>
      </c>
      <c r="D82" s="900"/>
      <c r="E82" s="900"/>
      <c r="F82" s="900"/>
      <c r="G82" s="900"/>
      <c r="H82" s="900"/>
      <c r="I82" s="900"/>
      <c r="J82" s="900"/>
      <c r="K82" s="900"/>
      <c r="L82" s="900"/>
      <c r="M82" s="900"/>
      <c r="P82" s="310"/>
      <c r="Q82" s="96"/>
      <c r="R82" s="473" t="s">
        <v>33</v>
      </c>
      <c r="S82" s="474"/>
      <c r="T82" s="311"/>
      <c r="U82" s="122"/>
    </row>
    <row r="83" spans="1:30" s="2" customFormat="1" ht="12" customHeight="1" thickBot="1" x14ac:dyDescent="0.25">
      <c r="P83" s="312" t="s">
        <v>121</v>
      </c>
      <c r="Q83" s="99"/>
      <c r="R83" s="100" t="s">
        <v>122</v>
      </c>
      <c r="S83" s="100" t="s">
        <v>38</v>
      </c>
      <c r="T83" s="313" t="s">
        <v>123</v>
      </c>
      <c r="U83" s="122"/>
    </row>
    <row r="84" spans="1:30" s="2" customFormat="1" ht="12" customHeight="1" x14ac:dyDescent="0.2">
      <c r="P84" s="435" t="s">
        <v>610</v>
      </c>
      <c r="Q84" s="22" t="s">
        <v>311</v>
      </c>
      <c r="R84" s="106">
        <v>1</v>
      </c>
      <c r="S84" s="230">
        <f>IF($G$15=0,0,($G$15*0.1)*35)</f>
        <v>8400</v>
      </c>
      <c r="T84" s="315">
        <f t="shared" ref="T84:T88" si="11">R84*S84</f>
        <v>8400</v>
      </c>
      <c r="U84" s="168" t="s">
        <v>41</v>
      </c>
      <c r="V84" s="122"/>
      <c r="W84" s="122"/>
      <c r="X84" s="122"/>
      <c r="Y84" s="122"/>
      <c r="Z84" s="122"/>
      <c r="AA84" s="18"/>
    </row>
    <row r="85" spans="1:30" s="2" customFormat="1" ht="12" customHeight="1" x14ac:dyDescent="0.2">
      <c r="P85" s="435" t="s">
        <v>611</v>
      </c>
      <c r="Q85" s="22" t="s">
        <v>313</v>
      </c>
      <c r="R85" s="106">
        <v>1</v>
      </c>
      <c r="S85" s="230">
        <f>IF($G$15&lt;=450,R110,(IF($G$15&lt;=800,R111,(IF($G$15&lt;=1200,R112,(IF($G$15&lt;=1600,R113,(IF($G$15&gt;1600,R114)))))))))</f>
        <v>240</v>
      </c>
      <c r="T85" s="315">
        <f t="shared" si="11"/>
        <v>240</v>
      </c>
      <c r="U85" s="168"/>
      <c r="V85" s="122"/>
      <c r="W85" s="122"/>
      <c r="X85" s="122"/>
      <c r="Y85" s="122"/>
      <c r="Z85" s="122"/>
      <c r="AA85" s="18"/>
    </row>
    <row r="86" spans="1:30" ht="12" customHeight="1" x14ac:dyDescent="0.2">
      <c r="P86" s="435" t="s">
        <v>612</v>
      </c>
      <c r="Q86" s="22" t="s">
        <v>315</v>
      </c>
      <c r="R86" s="106">
        <v>1</v>
      </c>
      <c r="S86" s="230">
        <f>IF($G$15&lt;=450,S110,(IF($G$15&lt;=800,S111,(IF($G$15&lt;=1200,S112,(IF($G$15&lt;=1600,S113,(IF($G$15&gt;1600,S114)))))))))</f>
        <v>700</v>
      </c>
      <c r="T86" s="315">
        <f t="shared" si="11"/>
        <v>700</v>
      </c>
      <c r="U86" s="168"/>
      <c r="V86" s="122"/>
      <c r="W86" s="122"/>
      <c r="X86" s="122"/>
      <c r="Y86" s="122"/>
      <c r="Z86" s="122"/>
      <c r="AA86" s="18"/>
    </row>
    <row r="87" spans="1:30" ht="12" customHeight="1" x14ac:dyDescent="0.2">
      <c r="P87" s="435" t="s">
        <v>613</v>
      </c>
      <c r="Q87" s="22" t="s">
        <v>317</v>
      </c>
      <c r="R87" s="106">
        <v>1</v>
      </c>
      <c r="S87" s="230">
        <f>IF($G$15&lt;=450,T110,(IF($G$15&lt;=800,T111,(IF($G$15&lt;=1200,T112,(IF($G$15&lt;=1600,T113,(IF($G$15&gt;1600,T114)))))))))</f>
        <v>400</v>
      </c>
      <c r="T87" s="315">
        <f t="shared" si="11"/>
        <v>400</v>
      </c>
      <c r="U87" s="122"/>
      <c r="V87" s="122"/>
      <c r="W87" s="122"/>
      <c r="X87" s="122"/>
      <c r="Y87" s="122"/>
      <c r="Z87" s="122"/>
    </row>
    <row r="88" spans="1:30" ht="12" customHeight="1" x14ac:dyDescent="0.2">
      <c r="P88" s="435" t="s">
        <v>614</v>
      </c>
      <c r="Q88" s="22" t="s">
        <v>133</v>
      </c>
      <c r="R88" s="299">
        <v>1</v>
      </c>
      <c r="S88" s="230">
        <f>IF($G$15&lt;=450,U110,(IF($G$15&lt;=800,U111,(IF($G$15&lt;=1200,U112,(IF($G$15&lt;=1600,U113,(IF($G$15&gt;1600,U114)))))))))</f>
        <v>1000</v>
      </c>
      <c r="T88" s="315">
        <f t="shared" si="11"/>
        <v>1000</v>
      </c>
      <c r="U88" s="122"/>
      <c r="V88" s="122"/>
      <c r="W88" s="122"/>
      <c r="X88" s="122"/>
      <c r="Y88" s="122"/>
      <c r="Z88" s="122"/>
    </row>
    <row r="89" spans="1:30" ht="12" customHeight="1" x14ac:dyDescent="0.2">
      <c r="P89" s="376" t="s">
        <v>561</v>
      </c>
      <c r="Q89" s="22" t="s">
        <v>261</v>
      </c>
      <c r="R89" s="146">
        <v>1</v>
      </c>
      <c r="S89" s="300">
        <f>IF($G$15&lt;=450,X110,(IF($G$15&lt;=800,X111,(IF($G$15&lt;=1200,X112,(IF($G$15&lt;=1600,X113,(IF($G$15&gt;1600,X114)))))))))</f>
        <v>490</v>
      </c>
      <c r="T89" s="316">
        <f t="shared" ref="T89" si="12">R89*S89</f>
        <v>490</v>
      </c>
      <c r="V89" s="122"/>
      <c r="W89" s="122"/>
      <c r="X89" s="122"/>
      <c r="Y89" s="122"/>
      <c r="Z89" s="122"/>
      <c r="AA89" s="18"/>
    </row>
    <row r="90" spans="1:30" ht="12" customHeight="1" x14ac:dyDescent="0.2">
      <c r="P90" s="314"/>
      <c r="Q90" s="49"/>
      <c r="R90" s="309"/>
      <c r="S90" s="230"/>
      <c r="T90" s="372"/>
      <c r="U90" s="122"/>
      <c r="V90" s="122"/>
      <c r="W90" s="122"/>
      <c r="X90" s="122"/>
      <c r="Y90" s="122"/>
      <c r="Z90" s="122"/>
      <c r="AA90" s="18"/>
    </row>
    <row r="91" spans="1:30" ht="12" customHeight="1" thickBot="1" x14ac:dyDescent="0.25">
      <c r="P91" s="319" t="s">
        <v>320</v>
      </c>
      <c r="Q91" s="320"/>
      <c r="R91" s="321"/>
      <c r="S91" s="321"/>
      <c r="T91" s="322">
        <f>SUM(T84:T89)</f>
        <v>11230</v>
      </c>
      <c r="U91" s="122"/>
      <c r="V91" s="122"/>
      <c r="W91" s="122"/>
      <c r="X91" s="122"/>
      <c r="Y91" s="122"/>
      <c r="Z91" s="122"/>
      <c r="AA91" s="18"/>
    </row>
    <row r="92" spans="1:30" ht="12" customHeight="1" thickBot="1" x14ac:dyDescent="0.25">
      <c r="A92" s="2"/>
      <c r="B92" s="2"/>
      <c r="C92" s="2"/>
      <c r="D92" s="2"/>
      <c r="E92" s="2"/>
      <c r="F92" s="2"/>
      <c r="G92" s="2"/>
      <c r="H92" s="7"/>
      <c r="I92" s="7"/>
      <c r="J92" s="7"/>
      <c r="K92" s="7"/>
      <c r="L92" s="7"/>
      <c r="M92" s="7"/>
      <c r="P92" s="18"/>
      <c r="Q92" s="32"/>
      <c r="R92" s="32"/>
      <c r="S92" s="32"/>
      <c r="T92" s="122"/>
      <c r="U92" s="122"/>
      <c r="V92" s="122"/>
      <c r="W92" s="122"/>
      <c r="X92" s="122"/>
      <c r="Y92" s="122"/>
      <c r="Z92" s="122"/>
      <c r="AA92" s="18"/>
    </row>
    <row r="93" spans="1:30" ht="12" customHeight="1" thickBot="1" x14ac:dyDescent="0.25">
      <c r="A93" s="55" t="s">
        <v>34</v>
      </c>
      <c r="B93" s="55"/>
      <c r="C93" s="55"/>
      <c r="D93" s="13"/>
      <c r="E93" s="56"/>
      <c r="F93" s="13"/>
      <c r="G93" s="57"/>
      <c r="H93" s="15"/>
      <c r="I93" s="15"/>
      <c r="J93" s="2"/>
      <c r="K93" s="2"/>
      <c r="L93" s="2"/>
      <c r="M93" s="869">
        <f>CurrentYear</f>
        <v>2013</v>
      </c>
      <c r="P93" s="945" t="s">
        <v>321</v>
      </c>
      <c r="Q93" s="946"/>
      <c r="R93" s="946"/>
      <c r="S93" s="946"/>
      <c r="T93" s="946"/>
      <c r="U93" s="946"/>
      <c r="V93" s="947"/>
      <c r="W93" s="122"/>
      <c r="X93" s="122"/>
      <c r="Y93" s="122"/>
      <c r="Z93" s="122"/>
      <c r="AA93" s="18"/>
    </row>
    <row r="94" spans="1:30" ht="12" customHeight="1" thickBot="1" x14ac:dyDescent="0.25">
      <c r="A94" s="58" t="s">
        <v>35</v>
      </c>
      <c r="B94" s="2"/>
      <c r="C94" s="2"/>
      <c r="D94" s="2"/>
      <c r="E94" s="2"/>
      <c r="F94" s="819" t="s">
        <v>954</v>
      </c>
      <c r="G94" s="820"/>
      <c r="H94" s="15"/>
      <c r="I94" s="15"/>
      <c r="J94" s="15"/>
      <c r="K94" s="2"/>
      <c r="L94" s="2"/>
      <c r="M94" s="255"/>
      <c r="P94" s="149" t="s">
        <v>23</v>
      </c>
      <c r="Q94" s="150" t="s">
        <v>24</v>
      </c>
      <c r="R94" s="151"/>
      <c r="S94" s="151"/>
      <c r="T94" s="151"/>
      <c r="U94" s="151"/>
      <c r="V94" s="152"/>
      <c r="W94" s="122"/>
      <c r="X94" s="122"/>
      <c r="Y94" s="122"/>
      <c r="Z94" s="122"/>
      <c r="AA94" s="18"/>
    </row>
    <row r="95" spans="1:30" ht="12" customHeight="1" x14ac:dyDescent="0.2">
      <c r="F95" s="4"/>
      <c r="G95" s="4"/>
      <c r="P95" s="68">
        <v>1</v>
      </c>
      <c r="Q95" s="153" t="s">
        <v>322</v>
      </c>
      <c r="R95" s="154"/>
      <c r="S95" s="154"/>
      <c r="T95" s="154"/>
      <c r="U95" s="154"/>
      <c r="V95" s="155"/>
      <c r="W95" s="122"/>
      <c r="X95" s="122"/>
      <c r="Y95" s="122"/>
      <c r="Z95" s="122"/>
      <c r="AA95" s="18"/>
    </row>
    <row r="96" spans="1:30" ht="12" customHeight="1" thickBot="1" x14ac:dyDescent="0.25">
      <c r="P96" s="71"/>
      <c r="Q96" s="164" t="s">
        <v>617</v>
      </c>
      <c r="R96" s="170"/>
      <c r="S96" s="170"/>
      <c r="T96" s="170"/>
      <c r="U96" s="170"/>
      <c r="V96" s="171"/>
      <c r="W96" s="18"/>
      <c r="X96" s="18"/>
      <c r="Y96" s="18"/>
      <c r="Z96" s="18"/>
      <c r="AA96" s="18"/>
    </row>
    <row r="97" spans="16:27" ht="12" customHeight="1" thickBot="1" x14ac:dyDescent="0.25">
      <c r="P97" s="18"/>
      <c r="Q97" s="18"/>
      <c r="R97" s="18"/>
      <c r="S97" s="18"/>
      <c r="T97" s="18"/>
      <c r="U97" s="18"/>
      <c r="V97" s="18"/>
      <c r="W97" s="18"/>
      <c r="X97" s="18"/>
      <c r="Y97" s="18"/>
      <c r="Z97" s="18"/>
      <c r="AA97" s="18"/>
    </row>
    <row r="98" spans="16:27" ht="12" customHeight="1" thickBot="1" x14ac:dyDescent="0.25">
      <c r="P98" s="18"/>
      <c r="Q98" s="945" t="s">
        <v>102</v>
      </c>
      <c r="R98" s="947"/>
      <c r="S98" s="172"/>
      <c r="T98" s="172"/>
      <c r="U98" s="172"/>
      <c r="V98" s="172"/>
      <c r="W98" s="172"/>
      <c r="X98" s="18"/>
      <c r="Y98" s="18"/>
      <c r="Z98" s="18"/>
      <c r="AA98" s="18"/>
    </row>
    <row r="99" spans="16:27" ht="12" customHeight="1" thickBot="1" x14ac:dyDescent="0.25">
      <c r="P99" s="18"/>
      <c r="Q99" s="173" t="s">
        <v>103</v>
      </c>
      <c r="R99" s="174" t="s">
        <v>329</v>
      </c>
      <c r="S99" s="175"/>
      <c r="T99" s="175"/>
      <c r="U99" s="175"/>
      <c r="V99" s="175"/>
      <c r="W99" s="175"/>
      <c r="X99" s="18"/>
      <c r="Y99" s="18"/>
      <c r="Z99" s="18"/>
      <c r="AA99" s="18"/>
    </row>
    <row r="100" spans="16:27" ht="12" customHeight="1" x14ac:dyDescent="0.2">
      <c r="P100" s="117"/>
      <c r="Q100" s="137" t="s">
        <v>458</v>
      </c>
      <c r="R100" s="177">
        <v>190</v>
      </c>
      <c r="S100" s="178"/>
      <c r="T100" s="178"/>
      <c r="U100" s="178"/>
      <c r="V100" s="178"/>
      <c r="W100" s="178"/>
      <c r="X100" s="117"/>
      <c r="Y100" s="117"/>
      <c r="Z100" s="117"/>
      <c r="AA100" s="117"/>
    </row>
    <row r="101" spans="16:27" ht="12" customHeight="1" x14ac:dyDescent="0.2">
      <c r="P101" s="117"/>
      <c r="Q101" s="140" t="s">
        <v>569</v>
      </c>
      <c r="R101" s="180">
        <v>250</v>
      </c>
      <c r="S101" s="178"/>
      <c r="T101" s="178"/>
      <c r="U101" s="178"/>
      <c r="V101" s="178"/>
      <c r="W101" s="178"/>
      <c r="X101" s="122"/>
      <c r="Y101" s="122"/>
      <c r="Z101" s="122"/>
      <c r="AA101" s="117"/>
    </row>
    <row r="102" spans="16:27" ht="12" customHeight="1" x14ac:dyDescent="0.2">
      <c r="P102" s="117"/>
      <c r="Q102" s="140" t="s">
        <v>570</v>
      </c>
      <c r="R102" s="180">
        <v>340</v>
      </c>
      <c r="S102" s="178"/>
      <c r="T102" s="178"/>
      <c r="U102" s="178"/>
      <c r="V102" s="178"/>
      <c r="W102" s="178"/>
      <c r="X102" s="122"/>
      <c r="Y102" s="122"/>
      <c r="Z102" s="122"/>
      <c r="AA102" s="117"/>
    </row>
    <row r="103" spans="16:27" ht="12" customHeight="1" x14ac:dyDescent="0.2">
      <c r="P103" s="117"/>
      <c r="Q103" s="140" t="s">
        <v>571</v>
      </c>
      <c r="R103" s="180">
        <v>350</v>
      </c>
      <c r="S103" s="178"/>
      <c r="T103" s="178"/>
      <c r="U103" s="178"/>
      <c r="V103" s="178"/>
      <c r="W103" s="178"/>
      <c r="X103" s="122"/>
      <c r="Y103" s="122"/>
      <c r="Z103" s="122"/>
      <c r="AA103" s="117"/>
    </row>
    <row r="104" spans="16:27" ht="12" customHeight="1" x14ac:dyDescent="0.2">
      <c r="P104" s="117"/>
      <c r="Q104" s="142" t="s">
        <v>575</v>
      </c>
      <c r="R104" s="180">
        <v>400</v>
      </c>
      <c r="S104" s="178"/>
      <c r="T104" s="178"/>
      <c r="U104" s="178"/>
      <c r="V104" s="178"/>
      <c r="W104" s="178"/>
      <c r="X104" s="122"/>
      <c r="Y104" s="122"/>
      <c r="Z104" s="122"/>
      <c r="AA104" s="117"/>
    </row>
    <row r="105" spans="16:27" ht="12" customHeight="1" thickBot="1" x14ac:dyDescent="0.25">
      <c r="P105" s="117"/>
      <c r="Q105" s="142"/>
      <c r="R105" s="181">
        <v>400</v>
      </c>
      <c r="S105" s="178"/>
      <c r="T105" s="178"/>
      <c r="U105" s="178"/>
      <c r="V105" s="178"/>
      <c r="W105" s="178"/>
      <c r="X105" s="122"/>
      <c r="Y105" s="122"/>
      <c r="Z105" s="122"/>
      <c r="AA105" s="117"/>
    </row>
    <row r="106" spans="16:27" ht="12" customHeight="1" thickBot="1" x14ac:dyDescent="0.25">
      <c r="P106" s="117"/>
      <c r="Q106" s="948" t="s">
        <v>110</v>
      </c>
      <c r="R106" s="950"/>
      <c r="S106" s="178"/>
      <c r="T106" s="178"/>
      <c r="U106" s="178"/>
      <c r="V106" s="178"/>
      <c r="W106" s="178"/>
      <c r="X106" s="122"/>
      <c r="Y106" s="122"/>
      <c r="Z106" s="122"/>
      <c r="AA106" s="117"/>
    </row>
    <row r="107" spans="16:27" ht="12" customHeight="1" thickBot="1" x14ac:dyDescent="0.25">
      <c r="P107" s="117"/>
      <c r="S107" s="32"/>
      <c r="T107" s="122"/>
      <c r="U107" s="122"/>
      <c r="V107" s="122"/>
      <c r="W107" s="122"/>
      <c r="X107" s="122"/>
      <c r="Y107" s="122"/>
      <c r="Z107" s="122"/>
      <c r="AA107" s="117"/>
    </row>
    <row r="108" spans="16:27" ht="12" customHeight="1" thickBot="1" x14ac:dyDescent="0.25">
      <c r="Q108" s="987" t="s">
        <v>102</v>
      </c>
      <c r="R108" s="988"/>
      <c r="S108" s="988"/>
      <c r="T108" s="988"/>
      <c r="U108" s="988"/>
      <c r="V108" s="988"/>
      <c r="W108" s="988"/>
      <c r="X108" s="988"/>
      <c r="Y108" s="989"/>
    </row>
    <row r="109" spans="16:27" ht="12" customHeight="1" thickBot="1" x14ac:dyDescent="0.25">
      <c r="Q109" s="328" t="s">
        <v>103</v>
      </c>
      <c r="R109" s="329" t="s">
        <v>325</v>
      </c>
      <c r="S109" s="329" t="s">
        <v>326</v>
      </c>
      <c r="T109" s="329" t="s">
        <v>327</v>
      </c>
      <c r="U109" s="329" t="s">
        <v>328</v>
      </c>
      <c r="V109" s="329" t="s">
        <v>487</v>
      </c>
      <c r="W109" s="330" t="s">
        <v>618</v>
      </c>
      <c r="X109" s="331" t="s">
        <v>619</v>
      </c>
      <c r="Y109" s="332" t="s">
        <v>179</v>
      </c>
    </row>
    <row r="110" spans="16:27" ht="12" customHeight="1" x14ac:dyDescent="0.2">
      <c r="P110" s="308">
        <v>1575</v>
      </c>
      <c r="Q110" s="325" t="s">
        <v>458</v>
      </c>
      <c r="R110" s="203">
        <v>120</v>
      </c>
      <c r="S110" s="203">
        <v>300</v>
      </c>
      <c r="T110" s="203">
        <v>300</v>
      </c>
      <c r="U110" s="203">
        <v>250</v>
      </c>
      <c r="V110" s="326">
        <v>0</v>
      </c>
      <c r="W110" s="326">
        <v>200</v>
      </c>
      <c r="X110" s="327">
        <v>160</v>
      </c>
      <c r="Y110" s="334">
        <f>SUM(R110:X110)+P110</f>
        <v>2905</v>
      </c>
    </row>
    <row r="111" spans="16:27" ht="12" customHeight="1" x14ac:dyDescent="0.2">
      <c r="P111" s="308">
        <v>2800</v>
      </c>
      <c r="Q111" s="303" t="s">
        <v>569</v>
      </c>
      <c r="R111" s="141">
        <v>120</v>
      </c>
      <c r="S111" s="141">
        <v>400</v>
      </c>
      <c r="T111" s="141">
        <v>300</v>
      </c>
      <c r="U111" s="141">
        <v>250</v>
      </c>
      <c r="V111" s="306">
        <v>500</v>
      </c>
      <c r="W111" s="306">
        <v>300</v>
      </c>
      <c r="X111" s="324">
        <v>260</v>
      </c>
      <c r="Y111" s="335">
        <f t="shared" ref="Y111:Y114" si="13">SUM(R111:X111)+P111</f>
        <v>4930</v>
      </c>
    </row>
    <row r="112" spans="16:27" ht="12" customHeight="1" x14ac:dyDescent="0.2">
      <c r="P112" s="308">
        <v>4200</v>
      </c>
      <c r="Q112" s="303" t="s">
        <v>570</v>
      </c>
      <c r="R112" s="141">
        <v>240</v>
      </c>
      <c r="S112" s="141">
        <v>500</v>
      </c>
      <c r="T112" s="141">
        <v>300</v>
      </c>
      <c r="U112" s="141">
        <v>500</v>
      </c>
      <c r="V112" s="306">
        <v>500</v>
      </c>
      <c r="W112" s="306">
        <v>300</v>
      </c>
      <c r="X112" s="324">
        <v>280</v>
      </c>
      <c r="Y112" s="335">
        <f t="shared" si="13"/>
        <v>6820</v>
      </c>
    </row>
    <row r="113" spans="16:27" ht="12" customHeight="1" x14ac:dyDescent="0.2">
      <c r="P113" s="308">
        <v>5600</v>
      </c>
      <c r="Q113" s="303" t="s">
        <v>571</v>
      </c>
      <c r="R113" s="141">
        <v>240</v>
      </c>
      <c r="S113" s="141">
        <v>600</v>
      </c>
      <c r="T113" s="141">
        <v>300</v>
      </c>
      <c r="U113" s="141">
        <v>750</v>
      </c>
      <c r="V113" s="306">
        <v>500</v>
      </c>
      <c r="W113" s="306">
        <v>400</v>
      </c>
      <c r="X113" s="324">
        <v>330</v>
      </c>
      <c r="Y113" s="335">
        <f t="shared" si="13"/>
        <v>8720</v>
      </c>
    </row>
    <row r="114" spans="16:27" ht="12" customHeight="1" thickBot="1" x14ac:dyDescent="0.25">
      <c r="P114" s="308">
        <v>8400</v>
      </c>
      <c r="Q114" s="304" t="s">
        <v>575</v>
      </c>
      <c r="R114" s="143">
        <v>240</v>
      </c>
      <c r="S114" s="143">
        <v>700</v>
      </c>
      <c r="T114" s="143">
        <v>400</v>
      </c>
      <c r="U114" s="143">
        <v>1000</v>
      </c>
      <c r="V114" s="307">
        <v>800</v>
      </c>
      <c r="W114" s="307">
        <v>500</v>
      </c>
      <c r="X114" s="333">
        <v>490</v>
      </c>
      <c r="Y114" s="336">
        <f t="shared" si="13"/>
        <v>12530</v>
      </c>
    </row>
    <row r="115" spans="16:27" ht="12" customHeight="1" thickBot="1" x14ac:dyDescent="0.25">
      <c r="Q115" s="990" t="s">
        <v>110</v>
      </c>
      <c r="R115" s="991"/>
      <c r="S115" s="991"/>
      <c r="T115" s="991"/>
      <c r="U115" s="991"/>
      <c r="V115" s="991"/>
      <c r="W115" s="991"/>
      <c r="X115" s="991"/>
      <c r="Y115" s="992"/>
    </row>
    <row r="116" spans="16:27" ht="12" customHeight="1" x14ac:dyDescent="0.2"/>
    <row r="117" spans="16:27" ht="12" customHeight="1" x14ac:dyDescent="0.2"/>
    <row r="118" spans="16:27" ht="12" customHeight="1" thickBot="1" x14ac:dyDescent="0.25"/>
    <row r="119" spans="16:27" ht="12" customHeight="1" x14ac:dyDescent="0.2">
      <c r="P119" s="887" t="s">
        <v>330</v>
      </c>
      <c r="Q119" s="888"/>
      <c r="R119" s="888"/>
      <c r="S119" s="888"/>
      <c r="T119" s="889"/>
    </row>
    <row r="120" spans="16:27" ht="12" customHeight="1" thickBot="1" x14ac:dyDescent="0.25">
      <c r="P120" s="890"/>
      <c r="Q120" s="891"/>
      <c r="R120" s="891"/>
      <c r="S120" s="891"/>
      <c r="T120" s="892"/>
      <c r="U120" s="122"/>
      <c r="V120" s="122"/>
      <c r="W120" s="122"/>
      <c r="X120" s="122"/>
      <c r="Y120" s="122"/>
      <c r="Z120" s="122"/>
    </row>
    <row r="121" spans="16:27" ht="12" customHeight="1" x14ac:dyDescent="0.2">
      <c r="P121" s="310"/>
      <c r="Q121" s="96"/>
      <c r="R121" s="473" t="s">
        <v>33</v>
      </c>
      <c r="S121" s="474"/>
      <c r="T121" s="311"/>
      <c r="U121" s="122"/>
      <c r="V121" s="122"/>
      <c r="W121" s="122"/>
      <c r="X121" s="122"/>
      <c r="Y121" s="122"/>
      <c r="Z121" s="122"/>
      <c r="AA121" s="18"/>
    </row>
    <row r="122" spans="16:27" ht="12" customHeight="1" thickBot="1" x14ac:dyDescent="0.25">
      <c r="P122" s="312" t="s">
        <v>121</v>
      </c>
      <c r="Q122" s="99"/>
      <c r="R122" s="100" t="s">
        <v>122</v>
      </c>
      <c r="S122" s="100" t="s">
        <v>38</v>
      </c>
      <c r="T122" s="313" t="s">
        <v>123</v>
      </c>
      <c r="U122" s="122"/>
      <c r="V122" s="122"/>
      <c r="W122" s="122"/>
      <c r="X122" s="122"/>
      <c r="Y122" s="122"/>
      <c r="Z122" s="122"/>
      <c r="AA122" s="18"/>
    </row>
    <row r="123" spans="16:27" ht="12" customHeight="1" x14ac:dyDescent="0.2">
      <c r="P123" s="435" t="s">
        <v>620</v>
      </c>
      <c r="Q123" s="436" t="s">
        <v>332</v>
      </c>
      <c r="R123" s="284">
        <v>1</v>
      </c>
      <c r="S123" s="230">
        <f>IF($G$15&lt;=450,R141,(IF($G$15&lt;=800,R142,(IF($G$15&lt;=1200,R143,(IF($G$15&lt;=1600,R144,(IF($G$15&gt;1600,R145)))))))))</f>
        <v>7000</v>
      </c>
      <c r="T123" s="315">
        <f>R123*S123</f>
        <v>7000</v>
      </c>
      <c r="U123" s="122"/>
      <c r="V123" s="122"/>
      <c r="W123" s="122"/>
      <c r="X123" s="122"/>
      <c r="Y123" s="122"/>
      <c r="Z123" s="122"/>
      <c r="AA123" s="18"/>
    </row>
    <row r="124" spans="16:27" ht="12" customHeight="1" x14ac:dyDescent="0.2">
      <c r="P124" s="435" t="s">
        <v>621</v>
      </c>
      <c r="Q124" s="416" t="s">
        <v>334</v>
      </c>
      <c r="R124" s="187">
        <v>1</v>
      </c>
      <c r="S124" s="230">
        <f>IF($G$15&lt;=450,S141,(IF($G$15&lt;=800,S142,(IF($G$15&lt;=1200,S143,(IF($G$15&lt;=1600,S144,(IF($G$15&gt;1600,S145)))))))))</f>
        <v>900</v>
      </c>
      <c r="T124" s="315">
        <f>R124*S124</f>
        <v>900</v>
      </c>
      <c r="U124" s="122"/>
      <c r="V124" s="122"/>
      <c r="W124" s="122"/>
      <c r="X124" s="122"/>
      <c r="Y124" s="122"/>
      <c r="Z124" s="122"/>
      <c r="AA124" s="18"/>
    </row>
    <row r="125" spans="16:27" ht="12" customHeight="1" x14ac:dyDescent="0.2">
      <c r="P125" s="435" t="s">
        <v>622</v>
      </c>
      <c r="Q125" s="416" t="s">
        <v>336</v>
      </c>
      <c r="R125" s="187">
        <v>1</v>
      </c>
      <c r="S125" s="300">
        <f>IF($G$15&lt;=450,T141,(IF($G$15&lt;=800,T142,(IF($G$15&lt;=1200,T143,(IF($G$15&lt;=1600,T144,(IF($G$15&gt;1600,T145)))))))))</f>
        <v>1200</v>
      </c>
      <c r="T125" s="316">
        <f>R125*S125</f>
        <v>1200</v>
      </c>
      <c r="U125" s="60" t="s">
        <v>41</v>
      </c>
      <c r="V125" s="122"/>
      <c r="W125" s="122"/>
      <c r="X125" s="122"/>
      <c r="Y125" s="122"/>
      <c r="Z125" s="122"/>
      <c r="AA125" s="18"/>
    </row>
    <row r="126" spans="16:27" ht="12" customHeight="1" x14ac:dyDescent="0.2">
      <c r="P126" s="317"/>
      <c r="Q126" s="49"/>
      <c r="R126" s="323"/>
      <c r="S126" s="80"/>
      <c r="T126" s="318"/>
      <c r="U126" s="122"/>
      <c r="V126" s="122"/>
      <c r="W126" s="122"/>
      <c r="X126" s="122"/>
      <c r="Y126" s="122"/>
      <c r="Z126" s="122"/>
    </row>
    <row r="127" spans="16:27" ht="12" customHeight="1" thickBot="1" x14ac:dyDescent="0.25">
      <c r="P127" s="319" t="s">
        <v>337</v>
      </c>
      <c r="Q127" s="320"/>
      <c r="R127" s="321"/>
      <c r="S127" s="321"/>
      <c r="T127" s="322">
        <f>SUM(T123:T125)</f>
        <v>9100</v>
      </c>
      <c r="U127" s="122"/>
      <c r="V127" s="122"/>
      <c r="W127" s="122"/>
      <c r="X127" s="122"/>
      <c r="Y127" s="122"/>
      <c r="Z127" s="122"/>
      <c r="AA127" s="18"/>
    </row>
    <row r="128" spans="16:27" ht="12" customHeight="1" thickBot="1" x14ac:dyDescent="0.25">
      <c r="P128" s="18"/>
      <c r="Q128" s="32"/>
      <c r="R128" s="32"/>
      <c r="S128" s="32"/>
      <c r="T128" s="122"/>
      <c r="U128" s="122"/>
      <c r="V128" s="122"/>
      <c r="W128" s="122"/>
      <c r="X128" s="122"/>
      <c r="Y128" s="122"/>
      <c r="Z128" s="122"/>
      <c r="AA128" s="18"/>
    </row>
    <row r="129" spans="16:27" ht="12" customHeight="1" thickBot="1" x14ac:dyDescent="0.25">
      <c r="P129" s="18"/>
      <c r="Q129" s="945" t="s">
        <v>102</v>
      </c>
      <c r="R129" s="947"/>
      <c r="S129" s="32"/>
      <c r="T129" s="122"/>
      <c r="U129" s="122"/>
      <c r="V129" s="122"/>
      <c r="W129" s="122"/>
      <c r="X129" s="122"/>
      <c r="Y129" s="122"/>
      <c r="Z129" s="122"/>
      <c r="AA129" s="18"/>
    </row>
    <row r="130" spans="16:27" ht="12" customHeight="1" thickBot="1" x14ac:dyDescent="0.25">
      <c r="P130" s="18"/>
      <c r="Q130" s="173" t="s">
        <v>103</v>
      </c>
      <c r="R130" s="174">
        <v>1</v>
      </c>
      <c r="S130" s="32"/>
      <c r="T130" s="122"/>
      <c r="U130" s="122"/>
      <c r="V130" s="122"/>
      <c r="W130" s="122"/>
      <c r="X130" s="122"/>
      <c r="Y130" s="122"/>
      <c r="Z130" s="122"/>
      <c r="AA130" s="18"/>
    </row>
    <row r="131" spans="16:27" ht="12" customHeight="1" x14ac:dyDescent="0.2">
      <c r="P131" s="117"/>
      <c r="Q131" s="137" t="s">
        <v>458</v>
      </c>
      <c r="R131" s="177">
        <v>100</v>
      </c>
      <c r="S131" s="117"/>
      <c r="T131" s="117"/>
      <c r="U131" s="117"/>
      <c r="V131" s="122"/>
      <c r="W131" s="122"/>
      <c r="X131" s="122"/>
      <c r="Y131" s="122"/>
      <c r="Z131" s="122"/>
      <c r="AA131" s="18"/>
    </row>
    <row r="132" spans="16:27" ht="12" customHeight="1" x14ac:dyDescent="0.2">
      <c r="P132" s="117"/>
      <c r="Q132" s="140" t="s">
        <v>569</v>
      </c>
      <c r="R132" s="180">
        <v>125</v>
      </c>
      <c r="S132" s="117"/>
      <c r="T132" s="117"/>
      <c r="U132" s="117"/>
      <c r="V132" s="117"/>
      <c r="W132" s="117"/>
      <c r="X132" s="117"/>
      <c r="Y132" s="117"/>
      <c r="Z132" s="117"/>
      <c r="AA132" s="117"/>
    </row>
    <row r="133" spans="16:27" ht="12" customHeight="1" x14ac:dyDescent="0.2">
      <c r="P133" s="117"/>
      <c r="Q133" s="140" t="s">
        <v>570</v>
      </c>
      <c r="R133" s="180">
        <v>150</v>
      </c>
      <c r="S133" s="117"/>
      <c r="T133" s="117"/>
      <c r="U133" s="117"/>
      <c r="V133" s="117"/>
      <c r="W133" s="117"/>
      <c r="X133" s="117"/>
      <c r="Y133" s="117"/>
      <c r="Z133" s="117"/>
      <c r="AA133" s="117"/>
    </row>
    <row r="134" spans="16:27" ht="12" customHeight="1" x14ac:dyDescent="0.2">
      <c r="P134" s="117"/>
      <c r="Q134" s="140" t="s">
        <v>571</v>
      </c>
      <c r="R134" s="180">
        <v>150</v>
      </c>
      <c r="S134" s="117"/>
      <c r="T134" s="117"/>
      <c r="U134" s="117"/>
      <c r="V134" s="117"/>
      <c r="W134" s="117"/>
      <c r="X134" s="117"/>
      <c r="Y134" s="117"/>
      <c r="Z134" s="117"/>
      <c r="AA134" s="117"/>
    </row>
    <row r="135" spans="16:27" ht="12" customHeight="1" x14ac:dyDescent="0.2">
      <c r="P135" s="117"/>
      <c r="Q135" s="142" t="s">
        <v>575</v>
      </c>
      <c r="R135" s="180">
        <v>150</v>
      </c>
      <c r="S135" s="117"/>
      <c r="T135" s="117"/>
      <c r="U135" s="117"/>
      <c r="V135" s="117"/>
      <c r="W135" s="117"/>
      <c r="X135" s="117"/>
      <c r="Y135" s="117"/>
      <c r="Z135" s="117"/>
      <c r="AA135" s="117"/>
    </row>
    <row r="136" spans="16:27" ht="12" customHeight="1" thickBot="1" x14ac:dyDescent="0.25">
      <c r="P136" s="117"/>
      <c r="Q136" s="142"/>
      <c r="R136" s="181">
        <v>150</v>
      </c>
      <c r="S136" s="32"/>
      <c r="T136" s="122"/>
      <c r="U136" s="122"/>
      <c r="V136" s="117"/>
      <c r="W136" s="117"/>
      <c r="X136" s="117"/>
      <c r="Y136" s="117"/>
      <c r="Z136" s="117"/>
      <c r="AA136" s="117"/>
    </row>
    <row r="137" spans="16:27" ht="12" customHeight="1" thickBot="1" x14ac:dyDescent="0.25">
      <c r="P137" s="117"/>
      <c r="Q137" s="948" t="s">
        <v>110</v>
      </c>
      <c r="R137" s="950"/>
      <c r="S137" s="32"/>
      <c r="T137" s="122"/>
      <c r="U137" s="122"/>
      <c r="V137" s="122"/>
      <c r="W137" s="122"/>
      <c r="X137" s="122"/>
      <c r="Y137" s="122"/>
      <c r="Z137" s="122"/>
      <c r="AA137" s="117"/>
    </row>
    <row r="138" spans="16:27" ht="12" customHeight="1" thickBot="1" x14ac:dyDescent="0.25">
      <c r="P138" s="117"/>
      <c r="S138" s="32"/>
      <c r="T138" s="122"/>
      <c r="U138" s="122"/>
      <c r="V138" s="122"/>
      <c r="W138" s="122"/>
      <c r="X138" s="122"/>
      <c r="Y138" s="122"/>
      <c r="Z138" s="122"/>
      <c r="AA138" s="117"/>
    </row>
    <row r="139" spans="16:27" ht="12" customHeight="1" thickBot="1" x14ac:dyDescent="0.25">
      <c r="Q139" s="945" t="s">
        <v>102</v>
      </c>
      <c r="R139" s="946"/>
      <c r="S139" s="946"/>
      <c r="T139" s="946"/>
      <c r="U139" s="947"/>
      <c r="W139" s="122"/>
      <c r="X139" s="122"/>
      <c r="Y139" s="122"/>
      <c r="Z139" s="122"/>
      <c r="AA139" s="117"/>
    </row>
    <row r="140" spans="16:27" ht="12" customHeight="1" thickBot="1" x14ac:dyDescent="0.25">
      <c r="P140" s="117"/>
      <c r="Q140" s="134" t="s">
        <v>103</v>
      </c>
      <c r="R140" s="135" t="s">
        <v>338</v>
      </c>
      <c r="S140" s="135" t="s">
        <v>339</v>
      </c>
      <c r="T140" s="135" t="s">
        <v>340</v>
      </c>
      <c r="U140" s="136" t="s">
        <v>179</v>
      </c>
      <c r="W140" s="122"/>
      <c r="X140" s="122"/>
      <c r="Y140" s="122"/>
      <c r="Z140" s="122"/>
      <c r="AA140" s="117"/>
    </row>
    <row r="141" spans="16:27" ht="12" customHeight="1" x14ac:dyDescent="0.2">
      <c r="Q141" s="137" t="s">
        <v>458</v>
      </c>
      <c r="R141" s="138">
        <v>1200</v>
      </c>
      <c r="S141" s="138">
        <v>100</v>
      </c>
      <c r="T141" s="138">
        <v>200</v>
      </c>
      <c r="U141" s="139">
        <f>SUM(R141:T141)</f>
        <v>1500</v>
      </c>
    </row>
    <row r="142" spans="16:27" ht="12" customHeight="1" x14ac:dyDescent="0.2">
      <c r="Q142" s="140" t="s">
        <v>569</v>
      </c>
      <c r="R142" s="141">
        <v>2400</v>
      </c>
      <c r="S142" s="141">
        <v>200</v>
      </c>
      <c r="T142" s="141">
        <v>300</v>
      </c>
      <c r="U142" s="139">
        <f t="shared" ref="U142:U145" si="14">SUM(R142:T142)</f>
        <v>2900</v>
      </c>
    </row>
    <row r="143" spans="16:27" ht="12" customHeight="1" x14ac:dyDescent="0.2">
      <c r="Q143" s="140" t="s">
        <v>570</v>
      </c>
      <c r="R143" s="141">
        <v>2800</v>
      </c>
      <c r="S143" s="141">
        <v>400</v>
      </c>
      <c r="T143" s="141">
        <v>300</v>
      </c>
      <c r="U143" s="139">
        <f t="shared" si="14"/>
        <v>3500</v>
      </c>
    </row>
    <row r="144" spans="16:27" ht="12" customHeight="1" x14ac:dyDescent="0.2">
      <c r="Q144" s="140" t="s">
        <v>571</v>
      </c>
      <c r="R144" s="141">
        <v>4200</v>
      </c>
      <c r="S144" s="141">
        <v>400</v>
      </c>
      <c r="T144" s="141">
        <v>900</v>
      </c>
      <c r="U144" s="139">
        <f t="shared" si="14"/>
        <v>5500</v>
      </c>
    </row>
    <row r="145" spans="16:21" ht="12" customHeight="1" thickBot="1" x14ac:dyDescent="0.25">
      <c r="Q145" s="142" t="s">
        <v>575</v>
      </c>
      <c r="R145" s="141">
        <v>7000</v>
      </c>
      <c r="S145" s="141">
        <v>900</v>
      </c>
      <c r="T145" s="141">
        <v>1200</v>
      </c>
      <c r="U145" s="139">
        <f t="shared" si="14"/>
        <v>9100</v>
      </c>
    </row>
    <row r="146" spans="16:21" ht="12" customHeight="1" thickBot="1" x14ac:dyDescent="0.25">
      <c r="Q146" s="948" t="s">
        <v>110</v>
      </c>
      <c r="R146" s="949"/>
      <c r="S146" s="949"/>
      <c r="T146" s="949"/>
      <c r="U146" s="950"/>
    </row>
    <row r="147" spans="16:21" ht="12" customHeight="1" x14ac:dyDescent="0.2"/>
    <row r="148" spans="16:21" ht="12" customHeight="1" thickBot="1" x14ac:dyDescent="0.25"/>
    <row r="149" spans="16:21" ht="12" customHeight="1" x14ac:dyDescent="0.2">
      <c r="P149" s="887" t="s">
        <v>341</v>
      </c>
      <c r="Q149" s="888"/>
      <c r="R149" s="888"/>
      <c r="S149" s="888"/>
      <c r="T149" s="889"/>
    </row>
    <row r="150" spans="16:21" ht="12" customHeight="1" thickBot="1" x14ac:dyDescent="0.25">
      <c r="P150" s="890"/>
      <c r="Q150" s="891"/>
      <c r="R150" s="983"/>
      <c r="S150" s="983"/>
      <c r="T150" s="994"/>
    </row>
    <row r="151" spans="16:21" ht="12" customHeight="1" x14ac:dyDescent="0.2">
      <c r="P151" s="310"/>
      <c r="Q151" s="337"/>
      <c r="R151" s="338" t="s">
        <v>33</v>
      </c>
      <c r="S151" s="339"/>
      <c r="T151" s="340"/>
    </row>
    <row r="152" spans="16:21" ht="12" customHeight="1" thickBot="1" x14ac:dyDescent="0.25">
      <c r="P152" s="312" t="s">
        <v>121</v>
      </c>
      <c r="Q152" s="100"/>
      <c r="R152" s="312" t="s">
        <v>122</v>
      </c>
      <c r="S152" s="100" t="s">
        <v>38</v>
      </c>
      <c r="T152" s="313" t="s">
        <v>123</v>
      </c>
    </row>
    <row r="153" spans="16:21" ht="12" customHeight="1" x14ac:dyDescent="0.2">
      <c r="P153" s="435" t="s">
        <v>623</v>
      </c>
      <c r="Q153" s="416" t="s">
        <v>624</v>
      </c>
      <c r="R153" s="341">
        <v>1</v>
      </c>
      <c r="S153" s="230">
        <f>IF($G$15&lt;=450,R168,(IF($G$15&lt;=800,R169,(IF($G$15&lt;=1200,R170,(IF($G$15&lt;=1600,R171,(IF($G$15&gt;1600,R172)))))))))</f>
        <v>6000</v>
      </c>
      <c r="T153" s="315">
        <f>R153*S153</f>
        <v>6000</v>
      </c>
    </row>
    <row r="154" spans="16:21" ht="12" customHeight="1" x14ac:dyDescent="0.2">
      <c r="P154" s="435" t="s">
        <v>625</v>
      </c>
      <c r="Q154" s="416" t="s">
        <v>626</v>
      </c>
      <c r="R154" s="346">
        <v>1</v>
      </c>
      <c r="S154" s="230">
        <f>IF($G$15&lt;=450,S168,(IF($G$15&lt;=800,S169,(IF($G$15&lt;=1200,S170,(IF($G$15&lt;=1600,S171,(IF($G$15&gt;1600,S172)))))))))</f>
        <v>800</v>
      </c>
      <c r="T154" s="315">
        <f>R154*S154</f>
        <v>800</v>
      </c>
    </row>
    <row r="155" spans="16:21" ht="12" customHeight="1" x14ac:dyDescent="0.2">
      <c r="P155" s="435" t="s">
        <v>627</v>
      </c>
      <c r="Q155" s="416" t="s">
        <v>628</v>
      </c>
      <c r="R155" s="346">
        <v>1</v>
      </c>
      <c r="S155" s="230">
        <f>IF($G$15&lt;=450,T168,(IF($G$15&lt;=800,T169,(IF($G$15&lt;=1200,T170,(IF($G$15&lt;=1600,T171,(IF($G$15&gt;1600,T172)))))))))</f>
        <v>500</v>
      </c>
      <c r="T155" s="315">
        <f t="shared" ref="T155:T162" si="15">R155*S155</f>
        <v>500</v>
      </c>
    </row>
    <row r="156" spans="16:21" ht="12" customHeight="1" x14ac:dyDescent="0.2">
      <c r="P156" s="435" t="s">
        <v>629</v>
      </c>
      <c r="Q156" s="416" t="s">
        <v>630</v>
      </c>
      <c r="R156" s="346">
        <v>1</v>
      </c>
      <c r="S156" s="230">
        <f>IF($G$15&lt;=450,U168,(IF($G$15&lt;=800,U169,(IF($G$15&lt;=1200,U170,(IF($G$15&lt;=1600,U171,(IF($G$15&gt;1600,U172)))))))))</f>
        <v>240</v>
      </c>
      <c r="T156" s="315">
        <f t="shared" si="15"/>
        <v>240</v>
      </c>
    </row>
    <row r="157" spans="16:21" ht="12" customHeight="1" x14ac:dyDescent="0.2">
      <c r="P157" s="435" t="s">
        <v>631</v>
      </c>
      <c r="Q157" s="416" t="s">
        <v>632</v>
      </c>
      <c r="R157" s="346">
        <v>1</v>
      </c>
      <c r="S157" s="230">
        <f>IF($G$15&lt;=450,V168,(IF($G$15&lt;=800,V169,(IF($G$15&lt;=1200,V170,(IF($G$15&lt;=1600,V171,(IF($G$15&gt;1600,V172)))))))))</f>
        <v>400</v>
      </c>
      <c r="T157" s="315">
        <f t="shared" si="15"/>
        <v>400</v>
      </c>
    </row>
    <row r="158" spans="16:21" ht="12" customHeight="1" x14ac:dyDescent="0.2">
      <c r="P158" s="435" t="s">
        <v>633</v>
      </c>
      <c r="Q158" s="416" t="s">
        <v>494</v>
      </c>
      <c r="R158" s="346">
        <v>1</v>
      </c>
      <c r="S158" s="230">
        <f>IF($G$15&lt;=450,W168,(IF($G$15&lt;=800,W169,(IF($G$15&lt;=1200,W170,(IF($G$15&lt;=1600,W171,(IF($G$15&gt;1600,W172)))))))))</f>
        <v>3000</v>
      </c>
      <c r="T158" s="315">
        <f t="shared" si="15"/>
        <v>3000</v>
      </c>
    </row>
    <row r="159" spans="16:21" ht="12" customHeight="1" x14ac:dyDescent="0.2">
      <c r="P159" s="435" t="s">
        <v>634</v>
      </c>
      <c r="Q159" s="416" t="s">
        <v>635</v>
      </c>
      <c r="R159" s="346">
        <v>1</v>
      </c>
      <c r="S159" s="230">
        <f>IF($G$15&lt;=450,X168,(IF($G$15&lt;=800,X169,(IF($G$15&lt;=1200,X170,(IF($G$15&lt;=1600,X171,(IF($G$15&gt;1600,X172)))))))))</f>
        <v>400</v>
      </c>
      <c r="T159" s="315">
        <f t="shared" si="15"/>
        <v>400</v>
      </c>
    </row>
    <row r="160" spans="16:21" ht="12" customHeight="1" x14ac:dyDescent="0.2">
      <c r="P160" s="435" t="s">
        <v>636</v>
      </c>
      <c r="Q160" s="416" t="s">
        <v>637</v>
      </c>
      <c r="R160" s="346">
        <v>1</v>
      </c>
      <c r="S160" s="230">
        <f>IF($G$15&lt;=450,Y168,(IF($G$15&lt;=800,Y169,(IF($G$15&lt;=1200,Y170,(IF($G$15&lt;=1600,Y171,(IF($G$15&gt;1600,Y172)))))))))</f>
        <v>240</v>
      </c>
      <c r="T160" s="315">
        <f t="shared" si="15"/>
        <v>240</v>
      </c>
    </row>
    <row r="161" spans="16:28" ht="12" customHeight="1" x14ac:dyDescent="0.2">
      <c r="P161" s="435" t="s">
        <v>638</v>
      </c>
      <c r="Q161" s="416" t="s">
        <v>639</v>
      </c>
      <c r="R161" s="346">
        <v>1</v>
      </c>
      <c r="S161" s="230">
        <f>IF($G$15&lt;=450,Z168,(IF($G$15&lt;=800,Z169,(IF($G$15&lt;=1200,Z170,(IF($G$15&lt;=1600,Z171,(IF($G$15&gt;1600,Z172)))))))))</f>
        <v>1200</v>
      </c>
      <c r="T161" s="315">
        <f t="shared" si="15"/>
        <v>1200</v>
      </c>
    </row>
    <row r="162" spans="16:28" ht="12" customHeight="1" x14ac:dyDescent="0.2">
      <c r="P162" s="435" t="s">
        <v>640</v>
      </c>
      <c r="Q162" s="416" t="s">
        <v>641</v>
      </c>
      <c r="R162" s="348">
        <v>1</v>
      </c>
      <c r="S162" s="300">
        <f>IF($G$15&lt;=450,AA168,(IF($G$15&lt;=800,AA169,(IF($G$15&lt;=1200,AA170,(IF($G$15&lt;=1600,AA171,(IF($G$15&gt;1600,AA172)))))))))</f>
        <v>640</v>
      </c>
      <c r="T162" s="349">
        <f t="shared" si="15"/>
        <v>640</v>
      </c>
    </row>
    <row r="163" spans="16:28" ht="12" customHeight="1" x14ac:dyDescent="0.2">
      <c r="P163" s="342"/>
      <c r="Q163" s="12"/>
      <c r="R163" s="342"/>
      <c r="S163" s="12"/>
      <c r="T163" s="343"/>
    </row>
    <row r="164" spans="16:28" ht="12" customHeight="1" thickBot="1" x14ac:dyDescent="0.25">
      <c r="P164" s="319" t="s">
        <v>346</v>
      </c>
      <c r="Q164" s="347"/>
      <c r="R164" s="345"/>
      <c r="S164" s="321"/>
      <c r="T164" s="322">
        <f>SUM(T153:T162)</f>
        <v>13420</v>
      </c>
    </row>
    <row r="165" spans="16:28" ht="12" customHeight="1" thickBot="1" x14ac:dyDescent="0.25"/>
    <row r="166" spans="16:28" ht="12" customHeight="1" thickBot="1" x14ac:dyDescent="0.25">
      <c r="Q166" s="987" t="s">
        <v>102</v>
      </c>
      <c r="R166" s="988"/>
      <c r="S166" s="988"/>
      <c r="T166" s="988"/>
      <c r="U166" s="988"/>
      <c r="V166" s="988"/>
      <c r="W166" s="988"/>
      <c r="X166" s="988"/>
      <c r="Y166" s="988"/>
      <c r="Z166" s="988"/>
      <c r="AA166" s="988"/>
      <c r="AB166" s="989"/>
    </row>
    <row r="167" spans="16:28" ht="12" customHeight="1" thickBot="1" x14ac:dyDescent="0.25">
      <c r="Q167" s="134" t="s">
        <v>103</v>
      </c>
      <c r="R167" s="135" t="s">
        <v>496</v>
      </c>
      <c r="S167" s="135" t="s">
        <v>497</v>
      </c>
      <c r="T167" s="135" t="s">
        <v>498</v>
      </c>
      <c r="U167" s="135" t="s">
        <v>642</v>
      </c>
      <c r="V167" s="135" t="s">
        <v>643</v>
      </c>
      <c r="W167" s="135" t="s">
        <v>644</v>
      </c>
      <c r="X167" s="135" t="s">
        <v>645</v>
      </c>
      <c r="Y167" s="135" t="s">
        <v>646</v>
      </c>
      <c r="Z167" s="135" t="s">
        <v>647</v>
      </c>
      <c r="AA167" s="293" t="s">
        <v>648</v>
      </c>
      <c r="AB167" s="350" t="s">
        <v>179</v>
      </c>
    </row>
    <row r="168" spans="16:28" ht="12" customHeight="1" x14ac:dyDescent="0.2">
      <c r="Q168" s="137" t="s">
        <v>458</v>
      </c>
      <c r="R168" s="138">
        <v>1800</v>
      </c>
      <c r="S168" s="138">
        <v>400</v>
      </c>
      <c r="T168" s="138">
        <v>0</v>
      </c>
      <c r="U168" s="138">
        <v>120</v>
      </c>
      <c r="V168" s="138">
        <v>150</v>
      </c>
      <c r="W168" s="138">
        <v>0</v>
      </c>
      <c r="X168" s="138">
        <v>0</v>
      </c>
      <c r="Y168" s="138">
        <v>120</v>
      </c>
      <c r="Z168" s="138">
        <v>200</v>
      </c>
      <c r="AA168" s="305">
        <v>80</v>
      </c>
      <c r="AB168" s="351">
        <f>SUM(R168:AA168)</f>
        <v>2870</v>
      </c>
    </row>
    <row r="169" spans="16:28" ht="12" customHeight="1" x14ac:dyDescent="0.2">
      <c r="Q169" s="140" t="s">
        <v>569</v>
      </c>
      <c r="R169" s="141">
        <v>2000</v>
      </c>
      <c r="S169" s="141">
        <v>500</v>
      </c>
      <c r="T169" s="141">
        <v>250</v>
      </c>
      <c r="U169" s="141">
        <v>120</v>
      </c>
      <c r="V169" s="141">
        <v>200</v>
      </c>
      <c r="W169" s="141">
        <v>1200</v>
      </c>
      <c r="X169" s="141">
        <v>200</v>
      </c>
      <c r="Y169" s="141">
        <v>120</v>
      </c>
      <c r="Z169" s="141">
        <v>300</v>
      </c>
      <c r="AA169" s="306">
        <v>80</v>
      </c>
      <c r="AB169" s="351">
        <f t="shared" ref="AB169:AB172" si="16">SUM(R169:AA169)</f>
        <v>4970</v>
      </c>
    </row>
    <row r="170" spans="16:28" ht="12" customHeight="1" x14ac:dyDescent="0.2">
      <c r="Q170" s="140" t="s">
        <v>570</v>
      </c>
      <c r="R170" s="141">
        <v>2500</v>
      </c>
      <c r="S170" s="141">
        <v>600</v>
      </c>
      <c r="T170" s="141">
        <v>250</v>
      </c>
      <c r="U170" s="141">
        <v>120</v>
      </c>
      <c r="V170" s="141">
        <v>300</v>
      </c>
      <c r="W170" s="141">
        <v>1200</v>
      </c>
      <c r="X170" s="141">
        <v>300</v>
      </c>
      <c r="Y170" s="141">
        <v>120</v>
      </c>
      <c r="Z170" s="141">
        <v>600</v>
      </c>
      <c r="AA170" s="306">
        <v>320</v>
      </c>
      <c r="AB170" s="351">
        <f t="shared" si="16"/>
        <v>6310</v>
      </c>
    </row>
    <row r="171" spans="16:28" ht="12" customHeight="1" x14ac:dyDescent="0.2">
      <c r="Q171" s="140" t="s">
        <v>571</v>
      </c>
      <c r="R171" s="141">
        <v>6000</v>
      </c>
      <c r="S171" s="141">
        <v>700</v>
      </c>
      <c r="T171" s="141">
        <v>350</v>
      </c>
      <c r="U171" s="141">
        <v>120</v>
      </c>
      <c r="V171" s="141">
        <v>600</v>
      </c>
      <c r="W171" s="141">
        <v>1500</v>
      </c>
      <c r="X171" s="141">
        <v>300</v>
      </c>
      <c r="Y171" s="141">
        <v>120</v>
      </c>
      <c r="Z171" s="141">
        <v>600</v>
      </c>
      <c r="AA171" s="306">
        <v>400</v>
      </c>
      <c r="AB171" s="351">
        <f t="shared" si="16"/>
        <v>10690</v>
      </c>
    </row>
    <row r="172" spans="16:28" ht="12" customHeight="1" thickBot="1" x14ac:dyDescent="0.25">
      <c r="Q172" s="142" t="s">
        <v>575</v>
      </c>
      <c r="R172" s="143">
        <v>6000</v>
      </c>
      <c r="S172" s="143">
        <v>800</v>
      </c>
      <c r="T172" s="143">
        <v>500</v>
      </c>
      <c r="U172" s="143">
        <v>240</v>
      </c>
      <c r="V172" s="143">
        <v>400</v>
      </c>
      <c r="W172" s="143">
        <v>3000</v>
      </c>
      <c r="X172" s="143">
        <v>400</v>
      </c>
      <c r="Y172" s="143">
        <v>240</v>
      </c>
      <c r="Z172" s="143">
        <v>1200</v>
      </c>
      <c r="AA172" s="307">
        <v>640</v>
      </c>
      <c r="AB172" s="351">
        <f t="shared" si="16"/>
        <v>13420</v>
      </c>
    </row>
    <row r="173" spans="16:28" ht="12" customHeight="1" thickBot="1" x14ac:dyDescent="0.25">
      <c r="Q173" s="990" t="s">
        <v>110</v>
      </c>
      <c r="R173" s="991"/>
      <c r="S173" s="991"/>
      <c r="T173" s="991"/>
      <c r="U173" s="991"/>
      <c r="V173" s="991"/>
      <c r="W173" s="991"/>
      <c r="X173" s="991"/>
      <c r="Y173" s="991"/>
      <c r="Z173" s="991"/>
      <c r="AA173" s="991"/>
      <c r="AB173" s="992"/>
    </row>
    <row r="174" spans="16:28" ht="12" customHeight="1" x14ac:dyDescent="0.2"/>
    <row r="175" spans="16:28" ht="12" customHeight="1" thickBot="1" x14ac:dyDescent="0.25"/>
    <row r="176" spans="16:28" ht="12" customHeight="1" x14ac:dyDescent="0.2">
      <c r="P176" s="970" t="s">
        <v>120</v>
      </c>
      <c r="Q176" s="951"/>
      <c r="R176" s="951"/>
      <c r="S176" s="951"/>
      <c r="T176" s="971"/>
    </row>
    <row r="177" spans="16:33" ht="12" customHeight="1" thickBot="1" x14ac:dyDescent="0.25">
      <c r="P177" s="972"/>
      <c r="Q177" s="891"/>
      <c r="R177" s="891"/>
      <c r="S177" s="891"/>
      <c r="T177" s="973"/>
    </row>
    <row r="178" spans="16:33" ht="12" customHeight="1" x14ac:dyDescent="0.2">
      <c r="P178" s="182"/>
      <c r="Q178" s="96"/>
      <c r="R178" s="473" t="s">
        <v>33</v>
      </c>
      <c r="S178" s="474"/>
      <c r="T178" s="475"/>
      <c r="U178" s="2"/>
      <c r="V178" s="2"/>
      <c r="W178" s="2"/>
      <c r="X178" s="2"/>
      <c r="Y178" s="2"/>
      <c r="Z178" s="2"/>
      <c r="AA178" s="2"/>
      <c r="AB178" s="2"/>
      <c r="AC178" s="2"/>
      <c r="AD178" s="2"/>
      <c r="AE178" s="2"/>
      <c r="AF178" s="2"/>
      <c r="AG178" s="2"/>
    </row>
    <row r="179" spans="16:33" ht="12" customHeight="1" thickBot="1" x14ac:dyDescent="0.25">
      <c r="P179" s="183" t="s">
        <v>121</v>
      </c>
      <c r="Q179" s="99"/>
      <c r="R179" s="100" t="s">
        <v>122</v>
      </c>
      <c r="S179" s="100" t="s">
        <v>38</v>
      </c>
      <c r="T179" s="99" t="s">
        <v>123</v>
      </c>
      <c r="U179" s="2"/>
      <c r="V179" s="2"/>
      <c r="W179" s="2"/>
      <c r="X179" s="2"/>
      <c r="Y179" s="2"/>
      <c r="Z179" s="2"/>
      <c r="AA179" s="18"/>
      <c r="AB179" s="2"/>
      <c r="AC179" s="2"/>
      <c r="AD179" s="2"/>
      <c r="AE179" s="2"/>
      <c r="AF179" s="2"/>
      <c r="AG179" s="2"/>
    </row>
    <row r="180" spans="16:33" ht="12" customHeight="1" x14ac:dyDescent="0.2">
      <c r="P180" s="256" t="s">
        <v>591</v>
      </c>
      <c r="Q180" s="648" t="s">
        <v>125</v>
      </c>
      <c r="R180" s="106">
        <v>1</v>
      </c>
      <c r="S180" s="235">
        <f>IF($G$15&lt;=450,R202,(IF($G$15&lt;=800,R203,(IF($G$15&lt;=1200,R204,(IF($G$15&lt;=1600,R205,(IF($G$15&gt;1600,R206)))))))))</f>
        <v>1000</v>
      </c>
      <c r="T180" s="285">
        <f>R180*S180</f>
        <v>1000</v>
      </c>
      <c r="U180" s="2"/>
      <c r="V180" s="2"/>
      <c r="W180" s="2"/>
      <c r="X180" s="2"/>
      <c r="Y180" s="2"/>
      <c r="Z180" s="2"/>
      <c r="AA180" s="18"/>
      <c r="AB180" s="2"/>
      <c r="AC180" s="2"/>
      <c r="AD180" s="2"/>
      <c r="AE180" s="2"/>
      <c r="AF180" s="2"/>
      <c r="AG180" s="2"/>
    </row>
    <row r="181" spans="16:33" ht="12" customHeight="1" x14ac:dyDescent="0.2">
      <c r="P181" s="256" t="s">
        <v>592</v>
      </c>
      <c r="Q181" s="416" t="s">
        <v>588</v>
      </c>
      <c r="R181" s="146">
        <v>1</v>
      </c>
      <c r="S181" s="235">
        <f>IF($G$15&lt;=450,S202,(IF($G$15&lt;=800,S203,(IF($G$15&lt;=1200,S204,(IF($G$15&lt;=1600,S205,(IF($G$15&gt;1600,S206)))))))))</f>
        <v>1000</v>
      </c>
      <c r="T181" s="291">
        <f t="shared" ref="T181:T194" si="17">R181*S181</f>
        <v>1000</v>
      </c>
      <c r="U181" s="2"/>
      <c r="V181" s="2"/>
      <c r="W181" s="2"/>
      <c r="X181" s="2"/>
      <c r="Y181" s="2"/>
      <c r="Z181" s="2"/>
      <c r="AA181" s="18"/>
      <c r="AB181" s="2"/>
      <c r="AC181" s="2"/>
      <c r="AD181" s="2"/>
      <c r="AE181" s="2"/>
      <c r="AF181" s="2"/>
      <c r="AG181" s="2"/>
    </row>
    <row r="182" spans="16:33" ht="12" customHeight="1" x14ac:dyDescent="0.2">
      <c r="P182" s="256" t="s">
        <v>593</v>
      </c>
      <c r="Q182" s="49" t="s">
        <v>129</v>
      </c>
      <c r="R182" s="187">
        <v>1</v>
      </c>
      <c r="S182" s="235">
        <f>IF($G$15&lt;=450,T202,(IF($G$15&lt;=800,T203,(IF($G$15&lt;=1200,T204,(IF($G$15&lt;=1600,T205,(IF($G$15&gt;1600,T206)))))))))</f>
        <v>150</v>
      </c>
      <c r="T182" s="291">
        <f t="shared" si="17"/>
        <v>150</v>
      </c>
      <c r="U182" s="168"/>
      <c r="V182" s="2"/>
      <c r="W182" s="2"/>
      <c r="X182" s="2"/>
      <c r="Y182" s="2"/>
      <c r="Z182" s="2"/>
      <c r="AA182" s="2"/>
      <c r="AB182" s="2"/>
      <c r="AC182" s="2"/>
      <c r="AD182" s="2"/>
      <c r="AE182" s="2"/>
      <c r="AF182" s="2"/>
      <c r="AG182" s="2"/>
    </row>
    <row r="183" spans="16:33" ht="12" customHeight="1" x14ac:dyDescent="0.2">
      <c r="P183" s="256" t="s">
        <v>594</v>
      </c>
      <c r="Q183" s="49" t="s">
        <v>131</v>
      </c>
      <c r="R183" s="187">
        <v>1</v>
      </c>
      <c r="S183" s="235">
        <f>IF($G$15&lt;=450,U202,(IF($G$15&lt;=800,U203,(IF($G$15&lt;=1200,U204,(IF($G$15&lt;=1600,U205,(IF($G$15&gt;1600,U206)))))))))</f>
        <v>720</v>
      </c>
      <c r="T183" s="291">
        <f t="shared" si="17"/>
        <v>720</v>
      </c>
      <c r="U183" s="168"/>
      <c r="V183" s="2"/>
      <c r="W183" s="2"/>
      <c r="X183" s="2"/>
      <c r="Y183" s="2"/>
      <c r="Z183" s="2"/>
      <c r="AA183" s="2"/>
      <c r="AB183" s="2"/>
      <c r="AC183" s="2"/>
      <c r="AD183" s="2"/>
      <c r="AE183" s="2"/>
      <c r="AF183" s="2"/>
      <c r="AG183" s="2"/>
    </row>
    <row r="184" spans="16:33" ht="12" customHeight="1" x14ac:dyDescent="0.2">
      <c r="P184" s="256" t="s">
        <v>595</v>
      </c>
      <c r="Q184" s="49" t="s">
        <v>133</v>
      </c>
      <c r="R184" s="187">
        <v>1</v>
      </c>
      <c r="S184" s="235">
        <f>IF($G$15&lt;=450,V202,(IF($G$15&lt;=800,V203,(IF($G$15&lt;=1200,V204,(IF($G$15&lt;=1600,V205,(IF($G$15&gt;1600,V206)))))))))</f>
        <v>750</v>
      </c>
      <c r="T184" s="291">
        <f t="shared" si="17"/>
        <v>750</v>
      </c>
      <c r="U184" s="168"/>
      <c r="V184" s="2"/>
      <c r="W184" s="2"/>
      <c r="X184" s="2"/>
      <c r="Y184" s="2"/>
      <c r="Z184" s="2"/>
      <c r="AA184" s="2"/>
      <c r="AB184" s="2"/>
      <c r="AC184" s="2"/>
      <c r="AD184" s="2"/>
      <c r="AE184" s="2"/>
      <c r="AF184" s="2"/>
      <c r="AG184" s="2"/>
    </row>
    <row r="185" spans="16:33" ht="12" customHeight="1" x14ac:dyDescent="0.2">
      <c r="P185" s="256" t="s">
        <v>596</v>
      </c>
      <c r="Q185" s="49" t="s">
        <v>135</v>
      </c>
      <c r="R185" s="187">
        <v>1</v>
      </c>
      <c r="S185" s="235">
        <f>IF($G$15&lt;=450,W202,(IF($G$15&lt;=800,W203,(IF($G$15&lt;=1200,W204,(IF($G$15&lt;=1600,W205,(IF($G$15&gt;1600,W206)))))))))</f>
        <v>800</v>
      </c>
      <c r="T185" s="291">
        <f t="shared" si="17"/>
        <v>800</v>
      </c>
      <c r="U185" s="168"/>
      <c r="V185" s="2"/>
      <c r="W185" s="2"/>
      <c r="X185" s="2"/>
      <c r="Y185" s="2"/>
      <c r="Z185" s="2"/>
      <c r="AA185" s="2"/>
      <c r="AB185" s="2"/>
      <c r="AC185" s="2"/>
      <c r="AD185" s="2"/>
      <c r="AE185" s="2"/>
      <c r="AF185" s="2"/>
      <c r="AG185" s="2"/>
    </row>
    <row r="186" spans="16:33" ht="12" customHeight="1" x14ac:dyDescent="0.2">
      <c r="P186" s="256" t="s">
        <v>597</v>
      </c>
      <c r="Q186" s="49" t="s">
        <v>137</v>
      </c>
      <c r="R186" s="187">
        <v>1</v>
      </c>
      <c r="S186" s="235">
        <f>IF($G$15&lt;=450,X202,(IF($G$15&lt;=800,X203,(IF($G$15&lt;=1200,X204,(IF($G$15&lt;=1600,X205,(IF($G$15&gt;1600,X206)))))))))</f>
        <v>400</v>
      </c>
      <c r="T186" s="291">
        <f t="shared" si="17"/>
        <v>400</v>
      </c>
      <c r="U186" s="168"/>
      <c r="V186" s="2"/>
      <c r="W186" s="2"/>
      <c r="X186" s="2"/>
      <c r="Y186" s="2"/>
      <c r="Z186" s="2"/>
      <c r="AA186" s="2"/>
      <c r="AB186" s="2"/>
      <c r="AC186" s="2"/>
      <c r="AD186" s="2"/>
      <c r="AE186" s="2"/>
      <c r="AF186" s="2"/>
      <c r="AG186" s="2"/>
    </row>
    <row r="187" spans="16:33" ht="12" customHeight="1" x14ac:dyDescent="0.2">
      <c r="P187" s="256" t="s">
        <v>598</v>
      </c>
      <c r="Q187" s="49" t="s">
        <v>139</v>
      </c>
      <c r="R187" s="187">
        <v>1</v>
      </c>
      <c r="S187" s="235">
        <f>IF($G$15&lt;=450,Y202,(IF($G$15&lt;=800,Y203,(IF($G$15&lt;=1200,Y204,(IF($G$15&lt;=1600,Y205,(IF($G$15&gt;1600,Y206)))))))))</f>
        <v>200</v>
      </c>
      <c r="T187" s="291">
        <f t="shared" si="17"/>
        <v>200</v>
      </c>
      <c r="U187" s="168"/>
      <c r="V187" s="2"/>
      <c r="W187" s="2"/>
      <c r="X187" s="2"/>
      <c r="Y187" s="2"/>
      <c r="Z187" s="2"/>
      <c r="AA187" s="2"/>
      <c r="AB187" s="2"/>
      <c r="AC187" s="2"/>
      <c r="AD187" s="2"/>
      <c r="AE187" s="2"/>
      <c r="AF187" s="2"/>
      <c r="AG187" s="2"/>
    </row>
    <row r="188" spans="16:33" ht="12" customHeight="1" x14ac:dyDescent="0.2">
      <c r="P188" s="256" t="s">
        <v>599</v>
      </c>
      <c r="Q188" s="22" t="s">
        <v>141</v>
      </c>
      <c r="R188" s="106">
        <v>1</v>
      </c>
      <c r="S188" s="235">
        <f>IF($G$15&lt;=450,Z202,(IF($G$15&lt;=800,Z203,(IF($G$15&lt;=1200,Z204,(IF($G$15&lt;=1600,Z205,(IF($G$15&gt;1600,Z206)))))))))</f>
        <v>600</v>
      </c>
      <c r="T188" s="291">
        <f t="shared" si="17"/>
        <v>600</v>
      </c>
      <c r="U188" s="168"/>
      <c r="V188" s="2"/>
      <c r="W188" s="2"/>
      <c r="X188" s="2"/>
      <c r="Y188" s="2"/>
      <c r="Z188" s="2"/>
      <c r="AA188" s="2"/>
      <c r="AB188" s="2"/>
      <c r="AC188" s="2"/>
      <c r="AD188" s="2"/>
      <c r="AE188" s="2"/>
      <c r="AF188" s="2"/>
      <c r="AG188" s="2"/>
    </row>
    <row r="189" spans="16:33" ht="12" customHeight="1" x14ac:dyDescent="0.2">
      <c r="P189" s="256" t="s">
        <v>600</v>
      </c>
      <c r="Q189" s="22" t="s">
        <v>143</v>
      </c>
      <c r="R189" s="106">
        <v>1</v>
      </c>
      <c r="S189" s="235">
        <f>IF($G$15&lt;=450,AA202,(IF($G$15&lt;=800,AA203,(IF($G$15&lt;=1200,AA204,(IF($G$15&lt;=1600,AA205,(IF($G$15&gt;1600,AA206)))))))))</f>
        <v>120</v>
      </c>
      <c r="T189" s="291">
        <f t="shared" si="17"/>
        <v>120</v>
      </c>
      <c r="U189" s="168"/>
      <c r="V189" s="2"/>
      <c r="W189" s="2"/>
      <c r="X189" s="2"/>
      <c r="Y189" s="2"/>
      <c r="Z189" s="2"/>
      <c r="AA189" s="2"/>
      <c r="AB189" s="2"/>
      <c r="AC189" s="2"/>
      <c r="AD189" s="2"/>
      <c r="AE189" s="2"/>
      <c r="AF189" s="2"/>
      <c r="AG189" s="2"/>
    </row>
    <row r="190" spans="16:33" ht="12" customHeight="1" x14ac:dyDescent="0.2">
      <c r="P190" s="256" t="s">
        <v>601</v>
      </c>
      <c r="Q190" s="22" t="s">
        <v>145</v>
      </c>
      <c r="R190" s="106">
        <v>1</v>
      </c>
      <c r="S190" s="235">
        <f>IF($G$15&lt;=450,AB202,(IF($G$15&lt;=800,AB203,(IF($G$15&lt;=1200,AB204,(IF($G$15&lt;=1600,AB205,(IF($G$15&gt;1600,AB206)))))))))</f>
        <v>960</v>
      </c>
      <c r="T190" s="291">
        <f t="shared" si="17"/>
        <v>960</v>
      </c>
      <c r="U190" s="168"/>
      <c r="V190" s="2"/>
      <c r="W190" s="2"/>
      <c r="X190" s="2"/>
      <c r="Y190" s="2"/>
      <c r="Z190" s="2"/>
      <c r="AA190" s="2"/>
      <c r="AB190" s="2"/>
      <c r="AC190" s="2"/>
      <c r="AD190" s="2"/>
      <c r="AE190" s="2"/>
      <c r="AF190" s="2"/>
      <c r="AG190" s="2"/>
    </row>
    <row r="191" spans="16:33" ht="12" customHeight="1" x14ac:dyDescent="0.2">
      <c r="P191" s="256" t="s">
        <v>602</v>
      </c>
      <c r="Q191" s="22" t="s">
        <v>147</v>
      </c>
      <c r="R191" s="189">
        <v>1</v>
      </c>
      <c r="S191" s="235">
        <f>IF($G$15&lt;=450,AC202,(IF($G$15&lt;=800,AC203,(IF($G$15&lt;=1200,AC204,(IF($G$15&lt;=1600,AC205,(IF($G$15&gt;1600,AC206)))))))))</f>
        <v>300</v>
      </c>
      <c r="T191" s="292">
        <f t="shared" si="17"/>
        <v>300</v>
      </c>
      <c r="U191" s="168"/>
      <c r="V191" s="2"/>
      <c r="W191" s="2"/>
      <c r="X191" s="2"/>
      <c r="Y191" s="2"/>
      <c r="Z191" s="2"/>
      <c r="AA191" s="2"/>
      <c r="AB191" s="2"/>
      <c r="AC191" s="2"/>
      <c r="AD191" s="2"/>
      <c r="AE191" s="2"/>
      <c r="AF191" s="2"/>
      <c r="AG191" s="2"/>
    </row>
    <row r="192" spans="16:33" ht="12" customHeight="1" x14ac:dyDescent="0.2">
      <c r="P192" s="256" t="s">
        <v>603</v>
      </c>
      <c r="Q192" s="22" t="s">
        <v>589</v>
      </c>
      <c r="R192" s="191">
        <v>1</v>
      </c>
      <c r="S192" s="235">
        <f>IF($G$15&lt;=450,AD202,(IF($G$15&lt;=800,AD203,(IF($G$15&lt;=1200,AD204,(IF($G$15&lt;=1600,AD205,(IF($G$15&gt;1600,AD206)))))))))</f>
        <v>1000</v>
      </c>
      <c r="T192" s="291">
        <f t="shared" si="17"/>
        <v>1000</v>
      </c>
      <c r="U192" s="168"/>
      <c r="V192" s="2"/>
      <c r="W192" s="2"/>
      <c r="X192" s="2"/>
      <c r="Y192" s="2"/>
      <c r="Z192" s="2"/>
      <c r="AA192" s="2"/>
      <c r="AB192" s="2"/>
      <c r="AC192" s="2"/>
      <c r="AD192" s="2"/>
      <c r="AE192" s="2"/>
      <c r="AF192" s="2"/>
      <c r="AG192" s="2"/>
    </row>
    <row r="193" spans="16:35" ht="12" customHeight="1" x14ac:dyDescent="0.2">
      <c r="P193" s="256" t="s">
        <v>604</v>
      </c>
      <c r="Q193" s="22" t="s">
        <v>149</v>
      </c>
      <c r="R193" s="191">
        <v>1</v>
      </c>
      <c r="S193" s="235">
        <f>IF($G$15&lt;=450,AE202,(IF($G$15&lt;=800,AE203,(IF($G$15&lt;=1200,AE204,(IF($G$15&lt;=1600,AE205,(IF($G$15&gt;1600,AE206)))))))))</f>
        <v>800</v>
      </c>
      <c r="T193" s="291">
        <f t="shared" si="17"/>
        <v>800</v>
      </c>
      <c r="U193" s="168"/>
      <c r="V193" s="2"/>
      <c r="W193" s="2"/>
      <c r="X193" s="2"/>
      <c r="Y193" s="2"/>
      <c r="Z193" s="2"/>
      <c r="AA193" s="2"/>
      <c r="AB193" s="2"/>
      <c r="AC193" s="2"/>
      <c r="AD193" s="2"/>
      <c r="AE193" s="2"/>
      <c r="AF193" s="2"/>
      <c r="AG193" s="2"/>
    </row>
    <row r="194" spans="16:35" ht="12" customHeight="1" x14ac:dyDescent="0.2">
      <c r="P194" s="256" t="s">
        <v>605</v>
      </c>
      <c r="Q194" s="22" t="s">
        <v>151</v>
      </c>
      <c r="R194" s="191">
        <v>1</v>
      </c>
      <c r="S194" s="235">
        <f>IF($G$15&lt;=450,AF202,(IF($G$15&lt;=800,AF203,(IF($G$15&lt;=1200,AF204,(IF($G$15&lt;=1600,AF205,(IF($G$15&gt;1600,AF206)))))))))</f>
        <v>600</v>
      </c>
      <c r="T194" s="291">
        <f t="shared" si="17"/>
        <v>600</v>
      </c>
      <c r="U194" s="168"/>
      <c r="V194" s="2"/>
      <c r="W194" s="2"/>
      <c r="X194" s="2"/>
      <c r="Y194" s="2"/>
      <c r="Z194" s="2"/>
      <c r="AA194" s="2"/>
      <c r="AB194" s="2"/>
      <c r="AC194" s="2"/>
      <c r="AD194" s="2"/>
      <c r="AE194" s="2"/>
      <c r="AF194" s="2"/>
      <c r="AG194" s="2"/>
    </row>
    <row r="195" spans="16:35" ht="12" customHeight="1" x14ac:dyDescent="0.2">
      <c r="P195" s="256" t="s">
        <v>606</v>
      </c>
      <c r="Q195" s="22" t="s">
        <v>153</v>
      </c>
      <c r="R195" s="191">
        <v>1</v>
      </c>
      <c r="S195" s="235">
        <f>IF($G$15&lt;=450,AG202,(IF($G$15&lt;=800,AG203,(IF($G$15&lt;=1200,AG204,(IF($G$15&lt;=1600,AG205,(IF($G$15&gt;1600,AG206)))))))))</f>
        <v>360</v>
      </c>
      <c r="T195" s="112">
        <f t="shared" ref="T195:T196" si="18">R195*S195</f>
        <v>360</v>
      </c>
      <c r="U195" s="168"/>
      <c r="V195" s="2"/>
      <c r="W195" s="2"/>
      <c r="X195" s="2"/>
      <c r="Y195" s="2"/>
      <c r="Z195" s="2"/>
      <c r="AA195" s="2"/>
      <c r="AB195" s="2"/>
      <c r="AC195" s="2"/>
      <c r="AD195" s="2"/>
      <c r="AE195" s="2"/>
      <c r="AF195" s="2"/>
      <c r="AG195" s="2"/>
    </row>
    <row r="196" spans="16:35" ht="12" customHeight="1" x14ac:dyDescent="0.2">
      <c r="P196" s="256" t="s">
        <v>607</v>
      </c>
      <c r="Q196" s="22" t="s">
        <v>590</v>
      </c>
      <c r="R196" s="191">
        <v>1</v>
      </c>
      <c r="S196" s="236">
        <f>IF($G$15&lt;=450,AH202,(IF($G$15&lt;=800,AH203,(IF($G$15&lt;=1200,AH204,(IF($G$15&lt;=1600,AH205,(IF($G$15&gt;1600,AH206)))))))))</f>
        <v>715</v>
      </c>
      <c r="T196" s="112">
        <f t="shared" si="18"/>
        <v>715</v>
      </c>
      <c r="U196" s="2"/>
      <c r="V196" s="2"/>
      <c r="W196" s="2"/>
      <c r="X196" s="2"/>
      <c r="Y196" s="2"/>
      <c r="Z196" s="2"/>
      <c r="AA196" s="18"/>
      <c r="AB196" s="2"/>
      <c r="AC196" s="2"/>
      <c r="AD196" s="2"/>
      <c r="AE196" s="2"/>
      <c r="AF196" s="2"/>
      <c r="AG196" s="2"/>
    </row>
    <row r="197" spans="16:35" ht="12" customHeight="1" x14ac:dyDescent="0.2">
      <c r="P197" s="48"/>
      <c r="Q197" s="22"/>
      <c r="R197" s="49"/>
      <c r="S197" s="49"/>
      <c r="T197" s="73"/>
      <c r="U197" s="2"/>
      <c r="V197" s="2"/>
      <c r="W197" s="2"/>
      <c r="X197" s="2"/>
      <c r="Y197" s="2"/>
      <c r="Z197" s="2"/>
      <c r="AA197" s="18"/>
      <c r="AB197" s="2"/>
      <c r="AC197" s="2"/>
      <c r="AD197" s="2"/>
      <c r="AE197" s="2"/>
      <c r="AF197" s="2"/>
      <c r="AG197" s="2"/>
    </row>
    <row r="198" spans="16:35" ht="12" customHeight="1" thickBot="1" x14ac:dyDescent="0.25">
      <c r="P198" s="44" t="s">
        <v>154</v>
      </c>
      <c r="Q198" s="45"/>
      <c r="R198" s="290"/>
      <c r="S198" s="290"/>
      <c r="T198" s="185">
        <f>SUM(T180:T196)</f>
        <v>10475</v>
      </c>
      <c r="U198" s="2"/>
      <c r="V198" s="2"/>
      <c r="W198" s="2"/>
      <c r="X198" s="2"/>
      <c r="Y198" s="2"/>
      <c r="Z198" s="2"/>
      <c r="AA198" s="18"/>
      <c r="AB198" s="2"/>
      <c r="AC198" s="2"/>
      <c r="AD198" s="2"/>
      <c r="AE198" s="2"/>
      <c r="AF198" s="2"/>
      <c r="AG198" s="2"/>
    </row>
    <row r="199" spans="16:35" ht="12" customHeight="1" thickBot="1" x14ac:dyDescent="0.25">
      <c r="P199" s="18"/>
      <c r="Q199" s="32"/>
      <c r="R199" s="32"/>
      <c r="S199" s="32"/>
      <c r="T199" s="122"/>
      <c r="U199" s="2"/>
      <c r="V199" s="2"/>
      <c r="W199" s="2"/>
      <c r="X199" s="2"/>
      <c r="Y199" s="2"/>
      <c r="Z199" s="2"/>
      <c r="AA199" s="18"/>
      <c r="AB199" s="2"/>
      <c r="AC199" s="2"/>
      <c r="AD199" s="2"/>
      <c r="AE199" s="2"/>
      <c r="AF199" s="2"/>
      <c r="AG199" s="2"/>
    </row>
    <row r="200" spans="16:35" ht="12" customHeight="1" thickBot="1" x14ac:dyDescent="0.25">
      <c r="P200" s="18"/>
      <c r="Q200" s="945" t="s">
        <v>102</v>
      </c>
      <c r="R200" s="946"/>
      <c r="S200" s="946"/>
      <c r="T200" s="946"/>
      <c r="U200" s="946"/>
      <c r="V200" s="946"/>
      <c r="W200" s="946"/>
      <c r="X200" s="946"/>
      <c r="Y200" s="946"/>
      <c r="Z200" s="946"/>
      <c r="AA200" s="946"/>
      <c r="AB200" s="946"/>
      <c r="AC200" s="946"/>
      <c r="AD200" s="946"/>
      <c r="AE200" s="946"/>
      <c r="AF200" s="946"/>
      <c r="AG200" s="946"/>
      <c r="AH200" s="946"/>
      <c r="AI200" s="947"/>
    </row>
    <row r="201" spans="16:35" ht="12" customHeight="1" thickBot="1" x14ac:dyDescent="0.25">
      <c r="P201" s="193"/>
      <c r="Q201" s="134" t="s">
        <v>103</v>
      </c>
      <c r="R201" s="135" t="s">
        <v>155</v>
      </c>
      <c r="S201" s="135" t="s">
        <v>156</v>
      </c>
      <c r="T201" s="135" t="s">
        <v>157</v>
      </c>
      <c r="U201" s="135" t="s">
        <v>158</v>
      </c>
      <c r="V201" s="135" t="s">
        <v>159</v>
      </c>
      <c r="W201" s="135" t="s">
        <v>160</v>
      </c>
      <c r="X201" s="135" t="s">
        <v>161</v>
      </c>
      <c r="Y201" s="135" t="s">
        <v>162</v>
      </c>
      <c r="Z201" s="135" t="s">
        <v>163</v>
      </c>
      <c r="AA201" s="135" t="s">
        <v>164</v>
      </c>
      <c r="AB201" s="135" t="s">
        <v>165</v>
      </c>
      <c r="AC201" s="135" t="s">
        <v>166</v>
      </c>
      <c r="AD201" s="135" t="s">
        <v>167</v>
      </c>
      <c r="AE201" s="135" t="s">
        <v>168</v>
      </c>
      <c r="AF201" s="293" t="s">
        <v>169</v>
      </c>
      <c r="AG201" s="194" t="s">
        <v>608</v>
      </c>
      <c r="AH201" s="174" t="s">
        <v>609</v>
      </c>
      <c r="AI201" s="136" t="s">
        <v>179</v>
      </c>
    </row>
    <row r="202" spans="16:35" ht="12" customHeight="1" x14ac:dyDescent="0.2">
      <c r="P202" s="193"/>
      <c r="Q202" s="137" t="s">
        <v>458</v>
      </c>
      <c r="R202" s="195">
        <v>200</v>
      </c>
      <c r="S202" s="195">
        <v>200</v>
      </c>
      <c r="T202" s="195">
        <v>150</v>
      </c>
      <c r="U202" s="195">
        <v>0</v>
      </c>
      <c r="V202" s="195">
        <v>250</v>
      </c>
      <c r="W202" s="195">
        <v>200</v>
      </c>
      <c r="X202" s="195">
        <v>150</v>
      </c>
      <c r="Y202" s="195">
        <v>85</v>
      </c>
      <c r="Z202" s="195">
        <v>200</v>
      </c>
      <c r="AA202" s="195">
        <v>120</v>
      </c>
      <c r="AB202" s="195">
        <v>240</v>
      </c>
      <c r="AC202" s="195">
        <v>100</v>
      </c>
      <c r="AD202" s="195">
        <v>150</v>
      </c>
      <c r="AE202" s="195">
        <v>200</v>
      </c>
      <c r="AF202" s="294">
        <v>400</v>
      </c>
      <c r="AG202" s="195">
        <v>240</v>
      </c>
      <c r="AH202" s="196">
        <v>300</v>
      </c>
      <c r="AI202" s="139">
        <f>SUM(R202:AH202)</f>
        <v>3185</v>
      </c>
    </row>
    <row r="203" spans="16:35" ht="12" customHeight="1" x14ac:dyDescent="0.2">
      <c r="P203" s="193"/>
      <c r="Q203" s="140" t="s">
        <v>569</v>
      </c>
      <c r="R203" s="197">
        <v>400</v>
      </c>
      <c r="S203" s="197">
        <v>400</v>
      </c>
      <c r="T203" s="197">
        <v>150</v>
      </c>
      <c r="U203" s="197">
        <v>0</v>
      </c>
      <c r="V203" s="197">
        <v>250</v>
      </c>
      <c r="W203" s="197">
        <v>300</v>
      </c>
      <c r="X203" s="197">
        <v>150</v>
      </c>
      <c r="Y203" s="197">
        <v>115</v>
      </c>
      <c r="Z203" s="197">
        <v>325</v>
      </c>
      <c r="AA203" s="197">
        <v>120</v>
      </c>
      <c r="AB203" s="197">
        <v>360</v>
      </c>
      <c r="AC203" s="197">
        <v>100</v>
      </c>
      <c r="AD203" s="197">
        <v>400</v>
      </c>
      <c r="AE203" s="197">
        <v>300</v>
      </c>
      <c r="AF203" s="295">
        <v>450</v>
      </c>
      <c r="AG203" s="197">
        <v>240</v>
      </c>
      <c r="AH203" s="198">
        <v>335</v>
      </c>
      <c r="AI203" s="139">
        <f>SUM(R203:AH203)</f>
        <v>4395</v>
      </c>
    </row>
    <row r="204" spans="16:35" ht="12" customHeight="1" x14ac:dyDescent="0.2">
      <c r="P204" s="193"/>
      <c r="Q204" s="140" t="s">
        <v>570</v>
      </c>
      <c r="R204" s="197">
        <v>500</v>
      </c>
      <c r="S204" s="197">
        <v>500</v>
      </c>
      <c r="T204" s="197">
        <v>150</v>
      </c>
      <c r="U204" s="197">
        <v>240</v>
      </c>
      <c r="V204" s="197">
        <v>500</v>
      </c>
      <c r="W204" s="197">
        <v>400</v>
      </c>
      <c r="X204" s="197">
        <v>200</v>
      </c>
      <c r="Y204" s="197">
        <v>145</v>
      </c>
      <c r="Z204" s="197">
        <v>450</v>
      </c>
      <c r="AA204" s="197">
        <v>120</v>
      </c>
      <c r="AB204" s="197">
        <v>480</v>
      </c>
      <c r="AC204" s="197">
        <v>200</v>
      </c>
      <c r="AD204" s="197">
        <v>750</v>
      </c>
      <c r="AE204" s="197">
        <v>400</v>
      </c>
      <c r="AF204" s="295">
        <v>500</v>
      </c>
      <c r="AG204" s="197">
        <v>360</v>
      </c>
      <c r="AH204" s="198">
        <v>527</v>
      </c>
      <c r="AI204" s="139">
        <f t="shared" ref="AI204:AI206" si="19">SUM(R204:AH204)</f>
        <v>6422</v>
      </c>
    </row>
    <row r="205" spans="16:35" ht="12" customHeight="1" x14ac:dyDescent="0.2">
      <c r="P205" s="193"/>
      <c r="Q205" s="140" t="s">
        <v>571</v>
      </c>
      <c r="R205" s="197">
        <v>600</v>
      </c>
      <c r="S205" s="197">
        <v>600</v>
      </c>
      <c r="T205" s="197">
        <v>150</v>
      </c>
      <c r="U205" s="197">
        <v>360</v>
      </c>
      <c r="V205" s="197">
        <v>750</v>
      </c>
      <c r="W205" s="197">
        <v>500</v>
      </c>
      <c r="X205" s="197">
        <v>200</v>
      </c>
      <c r="Y205" s="197">
        <v>175</v>
      </c>
      <c r="Z205" s="197">
        <v>575</v>
      </c>
      <c r="AA205" s="197">
        <v>120</v>
      </c>
      <c r="AB205" s="197">
        <v>600</v>
      </c>
      <c r="AC205" s="197">
        <v>200</v>
      </c>
      <c r="AD205" s="197">
        <v>1000</v>
      </c>
      <c r="AE205" s="197">
        <v>400</v>
      </c>
      <c r="AF205" s="295">
        <v>550</v>
      </c>
      <c r="AG205" s="197">
        <v>240</v>
      </c>
      <c r="AH205" s="198">
        <v>628</v>
      </c>
      <c r="AI205" s="139">
        <f t="shared" si="19"/>
        <v>7648</v>
      </c>
    </row>
    <row r="206" spans="16:35" ht="12" customHeight="1" thickBot="1" x14ac:dyDescent="0.25">
      <c r="P206" s="193"/>
      <c r="Q206" s="142" t="s">
        <v>575</v>
      </c>
      <c r="R206" s="199">
        <v>1000</v>
      </c>
      <c r="S206" s="199">
        <v>1000</v>
      </c>
      <c r="T206" s="199">
        <v>150</v>
      </c>
      <c r="U206" s="199">
        <v>720</v>
      </c>
      <c r="V206" s="199">
        <v>750</v>
      </c>
      <c r="W206" s="199">
        <v>800</v>
      </c>
      <c r="X206" s="199">
        <v>400</v>
      </c>
      <c r="Y206" s="199">
        <v>200</v>
      </c>
      <c r="Z206" s="199">
        <v>600</v>
      </c>
      <c r="AA206" s="199">
        <v>120</v>
      </c>
      <c r="AB206" s="199">
        <v>960</v>
      </c>
      <c r="AC206" s="199">
        <v>300</v>
      </c>
      <c r="AD206" s="199">
        <v>1000</v>
      </c>
      <c r="AE206" s="199">
        <v>800</v>
      </c>
      <c r="AF206" s="296">
        <v>600</v>
      </c>
      <c r="AG206" s="297">
        <v>360</v>
      </c>
      <c r="AH206" s="298">
        <v>715</v>
      </c>
      <c r="AI206" s="139">
        <f t="shared" si="19"/>
        <v>10475</v>
      </c>
    </row>
    <row r="207" spans="16:35" ht="12" customHeight="1" thickBot="1" x14ac:dyDescent="0.25">
      <c r="P207" s="117"/>
      <c r="Q207" s="948" t="s">
        <v>110</v>
      </c>
      <c r="R207" s="949"/>
      <c r="S207" s="949"/>
      <c r="T207" s="949"/>
      <c r="U207" s="949"/>
      <c r="V207" s="949"/>
      <c r="W207" s="949"/>
      <c r="X207" s="949"/>
      <c r="Y207" s="949"/>
      <c r="Z207" s="949"/>
      <c r="AA207" s="949"/>
      <c r="AB207" s="949"/>
      <c r="AC207" s="949"/>
      <c r="AD207" s="949"/>
      <c r="AE207" s="949"/>
      <c r="AF207" s="949"/>
      <c r="AG207" s="949"/>
      <c r="AH207" s="949"/>
      <c r="AI207" s="950"/>
    </row>
    <row r="208" spans="16:35" ht="12" customHeight="1" thickBot="1" x14ac:dyDescent="0.25">
      <c r="P208" s="117"/>
    </row>
    <row r="209" spans="16:33" ht="12" customHeight="1" x14ac:dyDescent="0.2">
      <c r="P209" s="887" t="s">
        <v>171</v>
      </c>
      <c r="Q209" s="888"/>
      <c r="R209" s="888"/>
      <c r="S209" s="888"/>
      <c r="T209" s="889"/>
      <c r="AG209" s="2"/>
    </row>
    <row r="210" spans="16:33" ht="12" customHeight="1" thickBot="1" x14ac:dyDescent="0.25">
      <c r="P210" s="890"/>
      <c r="Q210" s="891"/>
      <c r="R210" s="891"/>
      <c r="S210" s="891"/>
      <c r="T210" s="892"/>
      <c r="U210" s="2"/>
      <c r="V210" s="2"/>
      <c r="W210" s="2"/>
      <c r="X210" s="2"/>
      <c r="Y210" s="2"/>
      <c r="Z210" s="2"/>
      <c r="AA210" s="2"/>
      <c r="AB210" s="2"/>
      <c r="AC210" s="2"/>
      <c r="AD210" s="2"/>
      <c r="AE210" s="2"/>
      <c r="AF210" s="2"/>
      <c r="AG210" s="2"/>
    </row>
    <row r="211" spans="16:33" ht="12" customHeight="1" x14ac:dyDescent="0.2">
      <c r="P211" s="310"/>
      <c r="Q211" s="96"/>
      <c r="R211" s="473" t="s">
        <v>33</v>
      </c>
      <c r="S211" s="474"/>
      <c r="T211" s="311"/>
      <c r="U211" s="2"/>
      <c r="V211" s="2"/>
      <c r="W211" s="2"/>
      <c r="X211" s="2"/>
      <c r="Y211" s="2"/>
      <c r="Z211" s="2"/>
      <c r="AA211" s="2"/>
      <c r="AB211" s="2"/>
      <c r="AC211" s="2"/>
      <c r="AD211" s="2"/>
      <c r="AE211" s="2"/>
      <c r="AF211" s="2"/>
      <c r="AG211" s="2"/>
    </row>
    <row r="212" spans="16:33" ht="12" customHeight="1" thickBot="1" x14ac:dyDescent="0.25">
      <c r="P212" s="312" t="s">
        <v>121</v>
      </c>
      <c r="Q212" s="99"/>
      <c r="R212" s="100" t="s">
        <v>122</v>
      </c>
      <c r="S212" s="100" t="s">
        <v>38</v>
      </c>
      <c r="T212" s="313" t="s">
        <v>123</v>
      </c>
      <c r="U212" s="2"/>
      <c r="V212" s="2"/>
      <c r="W212" s="2"/>
      <c r="X212" s="2"/>
      <c r="Y212" s="2"/>
      <c r="Z212" s="2"/>
      <c r="AA212" s="2"/>
      <c r="AB212" s="2"/>
      <c r="AC212" s="2"/>
      <c r="AD212" s="2"/>
      <c r="AE212" s="2"/>
      <c r="AF212" s="2"/>
      <c r="AG212" s="2"/>
    </row>
    <row r="213" spans="16:33" ht="12" customHeight="1" x14ac:dyDescent="0.2">
      <c r="P213" s="435" t="s">
        <v>682</v>
      </c>
      <c r="Q213" s="416" t="s">
        <v>173</v>
      </c>
      <c r="R213" s="284">
        <v>1</v>
      </c>
      <c r="S213" s="230">
        <f>IF($G$15&lt;=450,R230,(IF($G$15&lt;=800,R231,(IF($G$15&lt;=1200,R232,(IF($G$15&lt;=1600,R233,(IF($G$15&gt;1600,R234)))))))))</f>
        <v>17400</v>
      </c>
      <c r="T213" s="365">
        <f t="shared" ref="T213:T214" si="20">R213*S213</f>
        <v>17400</v>
      </c>
      <c r="U213" s="2"/>
      <c r="V213" s="2"/>
      <c r="W213" s="2"/>
      <c r="X213" s="2"/>
      <c r="Y213" s="2"/>
      <c r="Z213" s="2"/>
      <c r="AA213" s="2"/>
      <c r="AB213" s="2"/>
      <c r="AC213" s="2"/>
      <c r="AD213" s="2"/>
      <c r="AE213" s="2"/>
      <c r="AF213" s="2"/>
      <c r="AG213" s="2"/>
    </row>
    <row r="214" spans="16:33" ht="12" customHeight="1" x14ac:dyDescent="0.2">
      <c r="P214" s="435" t="s">
        <v>683</v>
      </c>
      <c r="Q214" s="416" t="s">
        <v>684</v>
      </c>
      <c r="R214" s="187">
        <v>1</v>
      </c>
      <c r="S214" s="230">
        <f>IF($G$15&lt;=450,S230,(IF($G$15&lt;=800,S231,(IF($G$15&lt;=1200,S232,(IF($G$15&lt;=1600,S233,(IF($G$15&gt;1600,S234)))))))))</f>
        <v>7000</v>
      </c>
      <c r="T214" s="316">
        <f t="shared" si="20"/>
        <v>7000</v>
      </c>
      <c r="U214" s="2"/>
      <c r="V214" s="2"/>
      <c r="W214" s="2"/>
      <c r="X214" s="2"/>
      <c r="Y214" s="2"/>
      <c r="Z214" s="2"/>
      <c r="AA214" s="2"/>
      <c r="AB214" s="2"/>
      <c r="AC214" s="2"/>
      <c r="AD214" s="2"/>
      <c r="AE214" s="2"/>
      <c r="AF214" s="2"/>
      <c r="AG214" s="2"/>
    </row>
    <row r="215" spans="16:33" ht="12" customHeight="1" x14ac:dyDescent="0.2">
      <c r="P215" s="435" t="s">
        <v>685</v>
      </c>
      <c r="Q215" s="49" t="s">
        <v>522</v>
      </c>
      <c r="R215" s="187">
        <v>1</v>
      </c>
      <c r="S215" s="230">
        <f>IF($G$15&lt;=450,T230,(IF($G$15&lt;=800,T231,(IF($G$15&lt;=1200,T232,(IF($G$15&lt;=1600,T233,(IF($G$15&gt;1600,T234)))))))))</f>
        <v>6800</v>
      </c>
      <c r="T215" s="316">
        <f t="shared" ref="T215:T224" si="21">R215*S215</f>
        <v>6800</v>
      </c>
      <c r="U215" s="2"/>
      <c r="V215" s="2"/>
      <c r="W215" s="2"/>
      <c r="X215" s="2"/>
      <c r="Y215" s="2"/>
      <c r="Z215" s="2"/>
      <c r="AA215" s="2"/>
      <c r="AB215" s="2"/>
      <c r="AC215" s="2"/>
      <c r="AD215" s="2"/>
      <c r="AE215" s="2"/>
      <c r="AF215" s="2"/>
      <c r="AG215" s="2"/>
    </row>
    <row r="216" spans="16:33" ht="12" customHeight="1" x14ac:dyDescent="0.2">
      <c r="P216" s="435" t="s">
        <v>686</v>
      </c>
      <c r="Q216" s="49" t="s">
        <v>523</v>
      </c>
      <c r="R216" s="187">
        <v>1</v>
      </c>
      <c r="S216" s="230">
        <f>IF($G$15&lt;=450,U230,(IF($G$15&lt;=800,U231,(IF($G$15&lt;=1200,U232,(IF($G$15&lt;=1600,U233,(IF($G$15&gt;1600,U234)))))))))</f>
        <v>2800</v>
      </c>
      <c r="T216" s="316">
        <f t="shared" si="21"/>
        <v>2800</v>
      </c>
      <c r="U216" s="2"/>
      <c r="V216" s="2"/>
      <c r="W216" s="2"/>
      <c r="X216" s="2"/>
      <c r="Y216" s="2"/>
      <c r="Z216" s="2"/>
      <c r="AA216" s="2"/>
      <c r="AB216" s="2"/>
      <c r="AC216" s="2"/>
      <c r="AD216" s="2"/>
      <c r="AE216" s="2"/>
      <c r="AF216" s="2"/>
      <c r="AG216" s="2"/>
    </row>
    <row r="217" spans="16:33" ht="12" customHeight="1" x14ac:dyDescent="0.2">
      <c r="P217" s="435" t="s">
        <v>687</v>
      </c>
      <c r="Q217" s="49" t="s">
        <v>524</v>
      </c>
      <c r="R217" s="187">
        <v>1</v>
      </c>
      <c r="S217" s="230">
        <f>IF($G$15&lt;=450,V230,(IF($G$15&lt;=800,V231,(IF($G$15&lt;=1200,V232,(IF($G$15&lt;=1600,V233,(IF($G$15&gt;1600,V234)))))))))</f>
        <v>2000</v>
      </c>
      <c r="T217" s="316">
        <f t="shared" si="21"/>
        <v>2000</v>
      </c>
      <c r="U217" s="2"/>
      <c r="V217" s="2"/>
      <c r="W217" s="2"/>
      <c r="X217" s="2"/>
      <c r="Y217" s="2"/>
      <c r="Z217" s="2"/>
      <c r="AA217" s="2"/>
      <c r="AB217" s="2"/>
      <c r="AC217" s="2"/>
      <c r="AD217" s="2"/>
      <c r="AE217" s="2"/>
      <c r="AF217" s="2"/>
      <c r="AG217" s="2"/>
    </row>
    <row r="218" spans="16:33" ht="12" customHeight="1" x14ac:dyDescent="0.2">
      <c r="P218" s="435" t="s">
        <v>688</v>
      </c>
      <c r="Q218" s="49" t="s">
        <v>520</v>
      </c>
      <c r="R218" s="187">
        <v>1</v>
      </c>
      <c r="S218" s="230">
        <f>IF($G$15&lt;=450,W230,(IF($G$15&lt;=800,W231,(IF($G$15&lt;=1200,W232,(IF($G$15&lt;=1600,W233,(IF($G$15&gt;1600,W234)))))))))</f>
        <v>900</v>
      </c>
      <c r="T218" s="316">
        <f t="shared" si="21"/>
        <v>900</v>
      </c>
      <c r="AC218" s="2"/>
      <c r="AD218" s="2"/>
      <c r="AE218" s="2"/>
      <c r="AF218" s="2"/>
      <c r="AG218" s="2"/>
    </row>
    <row r="219" spans="16:33" ht="12" customHeight="1" x14ac:dyDescent="0.2">
      <c r="P219" s="435" t="s">
        <v>689</v>
      </c>
      <c r="Q219" s="49" t="s">
        <v>521</v>
      </c>
      <c r="R219" s="187">
        <v>1</v>
      </c>
      <c r="S219" s="230">
        <f>IF($G$15&lt;=450,X230,(IF($G$15&lt;=800,X231,(IF($G$15&lt;=1200,X232,(IF($G$15&lt;=1600,X233,(IF($G$15&gt;1600,X234)))))))))</f>
        <v>450</v>
      </c>
      <c r="T219" s="316">
        <f t="shared" si="21"/>
        <v>450</v>
      </c>
      <c r="AC219" s="2"/>
      <c r="AD219" s="2"/>
      <c r="AE219" s="2"/>
      <c r="AF219" s="2"/>
      <c r="AG219" s="2"/>
    </row>
    <row r="220" spans="16:33" ht="12" customHeight="1" x14ac:dyDescent="0.2">
      <c r="P220" s="435" t="s">
        <v>690</v>
      </c>
      <c r="Q220" s="49" t="s">
        <v>691</v>
      </c>
      <c r="R220" s="187">
        <v>1</v>
      </c>
      <c r="S220" s="230">
        <f>IF($G$15&lt;=450,Y230,(IF($G$15&lt;=800,Y231,(IF($G$15&lt;=1200,Y232,(IF($G$15&lt;=1600,Y233,(IF($G$15&gt;1600,Y234)))))))))</f>
        <v>240</v>
      </c>
      <c r="T220" s="316">
        <f t="shared" si="21"/>
        <v>240</v>
      </c>
      <c r="AC220" s="2"/>
      <c r="AD220" s="2"/>
      <c r="AE220" s="2"/>
      <c r="AF220" s="2"/>
      <c r="AG220" s="2"/>
    </row>
    <row r="221" spans="16:33" ht="12" customHeight="1" x14ac:dyDescent="0.2">
      <c r="P221" s="435" t="s">
        <v>692</v>
      </c>
      <c r="Q221" s="49" t="s">
        <v>693</v>
      </c>
      <c r="R221" s="187">
        <v>1</v>
      </c>
      <c r="S221" s="230">
        <f>IF($G$15&lt;=450,Z230,(IF($G$15&lt;=800,Z231,(IF($G$15&lt;=1200,Z232,(IF($G$15&lt;=1600,Z233,(IF($G$15&gt;1600,Z234)))))))))</f>
        <v>500</v>
      </c>
      <c r="T221" s="316">
        <f t="shared" si="21"/>
        <v>500</v>
      </c>
      <c r="AC221" s="2"/>
      <c r="AD221" s="2"/>
      <c r="AE221" s="2"/>
      <c r="AF221" s="2"/>
      <c r="AG221" s="2"/>
    </row>
    <row r="222" spans="16:33" ht="12" customHeight="1" x14ac:dyDescent="0.2">
      <c r="P222" s="435" t="s">
        <v>694</v>
      </c>
      <c r="Q222" s="49" t="s">
        <v>695</v>
      </c>
      <c r="R222" s="187">
        <v>1</v>
      </c>
      <c r="S222" s="230">
        <f>IF($G$15&lt;=450,AA230,(IF($G$15&lt;=800,AA231,(IF($G$15&lt;=1200,AA232,(IF($G$15&lt;=1600,AA233,(IF($G$15&gt;1600,AA234)))))))))</f>
        <v>900</v>
      </c>
      <c r="T222" s="316">
        <f t="shared" si="21"/>
        <v>900</v>
      </c>
      <c r="AC222" s="2"/>
      <c r="AD222" s="2"/>
      <c r="AE222" s="2"/>
      <c r="AF222" s="2"/>
      <c r="AG222" s="2"/>
    </row>
    <row r="223" spans="16:33" ht="12" customHeight="1" x14ac:dyDescent="0.2">
      <c r="P223" s="435" t="s">
        <v>696</v>
      </c>
      <c r="Q223" s="49" t="s">
        <v>697</v>
      </c>
      <c r="R223" s="187">
        <v>1</v>
      </c>
      <c r="S223" s="230">
        <f>IF($G$15&lt;=450,AB230,(IF($G$15&lt;=800,AB231,(IF($G$15&lt;=1200,AB232,(IF($G$15&lt;=1600,AB233,(IF($G$15&gt;1600,AB234)))))))))</f>
        <v>3000</v>
      </c>
      <c r="T223" s="316">
        <f t="shared" si="21"/>
        <v>3000</v>
      </c>
      <c r="U223" s="2"/>
      <c r="V223" s="2"/>
      <c r="W223" s="2"/>
      <c r="X223" s="2"/>
      <c r="Y223" s="2"/>
      <c r="Z223" s="2"/>
      <c r="AA223" s="2"/>
      <c r="AB223" s="2"/>
      <c r="AC223" s="2"/>
      <c r="AD223" s="2"/>
      <c r="AE223" s="2"/>
      <c r="AF223" s="2"/>
      <c r="AG223" s="2"/>
    </row>
    <row r="224" spans="16:33" ht="12" customHeight="1" x14ac:dyDescent="0.2">
      <c r="P224" s="435" t="s">
        <v>698</v>
      </c>
      <c r="Q224" s="49" t="s">
        <v>699</v>
      </c>
      <c r="R224" s="187">
        <v>1</v>
      </c>
      <c r="S224" s="300">
        <f>IF($G$15&lt;=450,AC230,(IF($G$15&lt;=800,AC231,(IF($G$15&lt;=1200,AC232,(IF($G$15&lt;=1600,AC233,(IF($G$15&gt;1600,AC234)))))))))</f>
        <v>4800</v>
      </c>
      <c r="T224" s="316">
        <f t="shared" si="21"/>
        <v>4800</v>
      </c>
      <c r="U224" s="2"/>
      <c r="V224" s="2"/>
      <c r="W224" s="2"/>
      <c r="X224" s="2"/>
      <c r="Y224" s="2"/>
      <c r="Z224" s="2"/>
      <c r="AA224" s="2"/>
      <c r="AB224" s="2"/>
      <c r="AC224" s="2"/>
      <c r="AD224" s="2"/>
      <c r="AE224" s="2"/>
      <c r="AF224" s="2"/>
      <c r="AG224" s="2"/>
    </row>
    <row r="225" spans="16:33" ht="12" customHeight="1" x14ac:dyDescent="0.2">
      <c r="P225" s="435"/>
      <c r="Q225" s="49"/>
      <c r="R225" s="364"/>
      <c r="S225" s="15"/>
      <c r="T225" s="366"/>
      <c r="U225" s="2"/>
      <c r="V225" s="2"/>
      <c r="W225" s="2"/>
      <c r="X225" s="2"/>
      <c r="Y225" s="2"/>
      <c r="Z225" s="2"/>
      <c r="AA225" s="2"/>
      <c r="AB225" s="2"/>
      <c r="AC225" s="2"/>
      <c r="AD225" s="2"/>
      <c r="AE225" s="2"/>
      <c r="AF225" s="2"/>
      <c r="AG225" s="2"/>
    </row>
    <row r="226" spans="16:33" ht="12" customHeight="1" thickBot="1" x14ac:dyDescent="0.25">
      <c r="P226" s="379" t="s">
        <v>176</v>
      </c>
      <c r="Q226" s="347"/>
      <c r="R226" s="367"/>
      <c r="S226" s="8"/>
      <c r="T226" s="322">
        <f>SUM(T213:T224)</f>
        <v>46790</v>
      </c>
      <c r="AE226" s="2"/>
      <c r="AF226" s="2"/>
      <c r="AG226" s="2"/>
    </row>
    <row r="227" spans="16:33" ht="12" customHeight="1" thickBot="1" x14ac:dyDescent="0.25">
      <c r="P227" s="2"/>
      <c r="AE227" s="2"/>
      <c r="AF227" s="2"/>
      <c r="AG227" s="2"/>
    </row>
    <row r="228" spans="16:33" ht="12" customHeight="1" thickBot="1" x14ac:dyDescent="0.25">
      <c r="P228" s="2"/>
      <c r="Q228" s="987" t="s">
        <v>102</v>
      </c>
      <c r="R228" s="988"/>
      <c r="S228" s="988"/>
      <c r="T228" s="988"/>
      <c r="U228" s="988"/>
      <c r="V228" s="988"/>
      <c r="W228" s="988"/>
      <c r="X228" s="988"/>
      <c r="Y228" s="988"/>
      <c r="Z228" s="988"/>
      <c r="AA228" s="988"/>
      <c r="AB228" s="988"/>
      <c r="AC228" s="988"/>
      <c r="AD228" s="989"/>
      <c r="AE228" s="2"/>
      <c r="AF228" s="2"/>
      <c r="AG228" s="2"/>
    </row>
    <row r="229" spans="16:33" ht="12" customHeight="1" thickBot="1" x14ac:dyDescent="0.25">
      <c r="P229" s="2"/>
      <c r="Q229" s="363" t="s">
        <v>103</v>
      </c>
      <c r="R229" s="135" t="s">
        <v>177</v>
      </c>
      <c r="S229" s="135" t="s">
        <v>178</v>
      </c>
      <c r="T229" s="135" t="s">
        <v>515</v>
      </c>
      <c r="U229" s="135" t="s">
        <v>516</v>
      </c>
      <c r="V229" s="135" t="s">
        <v>517</v>
      </c>
      <c r="W229" s="135" t="s">
        <v>518</v>
      </c>
      <c r="X229" s="135" t="s">
        <v>525</v>
      </c>
      <c r="Y229" s="135" t="s">
        <v>677</v>
      </c>
      <c r="Z229" s="135" t="s">
        <v>678</v>
      </c>
      <c r="AA229" s="135" t="s">
        <v>679</v>
      </c>
      <c r="AB229" s="135" t="s">
        <v>680</v>
      </c>
      <c r="AC229" s="135" t="s">
        <v>681</v>
      </c>
      <c r="AD229" s="136" t="s">
        <v>179</v>
      </c>
      <c r="AE229" s="2"/>
      <c r="AF229" s="2"/>
      <c r="AG229" s="2"/>
    </row>
    <row r="230" spans="16:33" ht="12" customHeight="1" x14ac:dyDescent="0.2">
      <c r="P230" s="2"/>
      <c r="Q230" s="137" t="s">
        <v>458</v>
      </c>
      <c r="R230" s="203">
        <v>9300</v>
      </c>
      <c r="S230" s="203">
        <v>0</v>
      </c>
      <c r="T230" s="203">
        <v>1100</v>
      </c>
      <c r="U230" s="203">
        <v>411</v>
      </c>
      <c r="V230" s="203">
        <v>400</v>
      </c>
      <c r="W230" s="203">
        <v>150</v>
      </c>
      <c r="X230" s="203">
        <v>150</v>
      </c>
      <c r="Y230" s="203">
        <v>0</v>
      </c>
      <c r="Z230" s="203">
        <v>100</v>
      </c>
      <c r="AA230" s="203">
        <v>0</v>
      </c>
      <c r="AB230" s="203">
        <v>0</v>
      </c>
      <c r="AC230" s="203">
        <v>0</v>
      </c>
      <c r="AD230" s="139">
        <f>SUM(R230:AC230)</f>
        <v>11611</v>
      </c>
      <c r="AE230" s="2"/>
      <c r="AF230" s="2"/>
      <c r="AG230" s="2"/>
    </row>
    <row r="231" spans="16:33" ht="12" customHeight="1" x14ac:dyDescent="0.2">
      <c r="P231" s="2"/>
      <c r="Q231" s="140" t="s">
        <v>569</v>
      </c>
      <c r="R231" s="141">
        <v>10700</v>
      </c>
      <c r="S231" s="141">
        <v>0</v>
      </c>
      <c r="T231" s="141">
        <v>1300</v>
      </c>
      <c r="U231" s="141">
        <v>500</v>
      </c>
      <c r="V231" s="141">
        <v>600</v>
      </c>
      <c r="W231" s="141">
        <v>225</v>
      </c>
      <c r="X231" s="141">
        <v>225</v>
      </c>
      <c r="Y231" s="141">
        <v>0</v>
      </c>
      <c r="Z231" s="141">
        <v>200</v>
      </c>
      <c r="AA231" s="141">
        <v>300</v>
      </c>
      <c r="AB231" s="141">
        <v>1500</v>
      </c>
      <c r="AC231" s="141">
        <v>1400</v>
      </c>
      <c r="AD231" s="139">
        <f t="shared" ref="AD231:AD234" si="22">SUM(R231:AC231)</f>
        <v>16950</v>
      </c>
      <c r="AE231" s="2"/>
      <c r="AF231" s="2"/>
      <c r="AG231" s="2"/>
    </row>
    <row r="232" spans="16:33" ht="12" customHeight="1" x14ac:dyDescent="0.2">
      <c r="P232" s="2"/>
      <c r="Q232" s="140" t="s">
        <v>570</v>
      </c>
      <c r="R232" s="141">
        <v>12400</v>
      </c>
      <c r="S232" s="141">
        <v>7000</v>
      </c>
      <c r="T232" s="141">
        <v>2800</v>
      </c>
      <c r="U232" s="141">
        <v>1200</v>
      </c>
      <c r="V232" s="141">
        <v>700</v>
      </c>
      <c r="W232" s="141">
        <v>300</v>
      </c>
      <c r="X232" s="141">
        <v>300</v>
      </c>
      <c r="Y232" s="141">
        <v>120</v>
      </c>
      <c r="Z232" s="141">
        <v>250</v>
      </c>
      <c r="AA232" s="141">
        <v>400</v>
      </c>
      <c r="AB232" s="141">
        <v>1500</v>
      </c>
      <c r="AC232" s="141">
        <v>1800</v>
      </c>
      <c r="AD232" s="139">
        <f t="shared" si="22"/>
        <v>28770</v>
      </c>
      <c r="AE232" s="2"/>
      <c r="AF232" s="2"/>
      <c r="AG232" s="2"/>
    </row>
    <row r="233" spans="16:33" ht="12" customHeight="1" x14ac:dyDescent="0.2">
      <c r="P233" s="2"/>
      <c r="Q233" s="140" t="s">
        <v>571</v>
      </c>
      <c r="R233" s="141">
        <v>14000</v>
      </c>
      <c r="S233" s="141">
        <v>7000</v>
      </c>
      <c r="T233" s="141">
        <v>4250</v>
      </c>
      <c r="U233" s="141">
        <v>1750</v>
      </c>
      <c r="V233" s="141">
        <v>900</v>
      </c>
      <c r="W233" s="141">
        <v>375</v>
      </c>
      <c r="X233" s="141">
        <v>375</v>
      </c>
      <c r="Y233" s="141">
        <v>120</v>
      </c>
      <c r="Z233" s="141">
        <v>300</v>
      </c>
      <c r="AA233" s="141">
        <v>600</v>
      </c>
      <c r="AB233" s="141">
        <v>1500</v>
      </c>
      <c r="AC233" s="141">
        <v>1800</v>
      </c>
      <c r="AD233" s="139">
        <f t="shared" si="22"/>
        <v>32970</v>
      </c>
    </row>
    <row r="234" spans="16:33" ht="12" customHeight="1" thickBot="1" x14ac:dyDescent="0.25">
      <c r="P234" s="2"/>
      <c r="Q234" s="142" t="s">
        <v>575</v>
      </c>
      <c r="R234" s="143">
        <v>17400</v>
      </c>
      <c r="S234" s="143">
        <v>7000</v>
      </c>
      <c r="T234" s="143">
        <v>6800</v>
      </c>
      <c r="U234" s="143">
        <v>2800</v>
      </c>
      <c r="V234" s="143">
        <v>2000</v>
      </c>
      <c r="W234" s="143">
        <v>900</v>
      </c>
      <c r="X234" s="143">
        <v>450</v>
      </c>
      <c r="Y234" s="143">
        <v>240</v>
      </c>
      <c r="Z234" s="143">
        <v>500</v>
      </c>
      <c r="AA234" s="143">
        <v>900</v>
      </c>
      <c r="AB234" s="143">
        <v>3000</v>
      </c>
      <c r="AC234" s="143">
        <v>4800</v>
      </c>
      <c r="AD234" s="144">
        <f t="shared" si="22"/>
        <v>46790</v>
      </c>
    </row>
    <row r="235" spans="16:33" ht="12" customHeight="1" thickBot="1" x14ac:dyDescent="0.25">
      <c r="P235" s="2"/>
      <c r="Q235" s="990" t="s">
        <v>110</v>
      </c>
      <c r="R235" s="991"/>
      <c r="S235" s="991"/>
      <c r="T235" s="991"/>
      <c r="U235" s="991"/>
      <c r="V235" s="991"/>
      <c r="W235" s="991"/>
      <c r="X235" s="991"/>
      <c r="Y235" s="991"/>
      <c r="Z235" s="991"/>
      <c r="AA235" s="991"/>
      <c r="AB235" s="991"/>
      <c r="AC235" s="991"/>
      <c r="AD235" s="992"/>
    </row>
    <row r="236" spans="16:33" ht="12" customHeight="1" x14ac:dyDescent="0.2">
      <c r="P236" s="2"/>
      <c r="Q236" s="2"/>
      <c r="R236" s="2"/>
      <c r="S236" s="2"/>
      <c r="T236" s="2"/>
      <c r="U236" s="2"/>
      <c r="V236" s="2"/>
      <c r="W236" s="2"/>
      <c r="X236" s="2"/>
      <c r="Y236" s="2"/>
      <c r="Z236" s="2"/>
      <c r="AA236" s="2"/>
      <c r="AB236" s="2"/>
    </row>
    <row r="237" spans="16:33" ht="12" customHeight="1" thickBot="1" x14ac:dyDescent="0.25">
      <c r="W237" s="117"/>
      <c r="X237" s="117"/>
      <c r="Y237" s="117"/>
      <c r="Z237" s="117"/>
      <c r="AA237" s="2"/>
      <c r="AB237" s="2"/>
    </row>
    <row r="238" spans="16:33" ht="12" customHeight="1" x14ac:dyDescent="0.2">
      <c r="P238" s="887" t="s">
        <v>348</v>
      </c>
      <c r="Q238" s="888"/>
      <c r="R238" s="888"/>
      <c r="S238" s="888"/>
      <c r="T238" s="889"/>
      <c r="U238" s="117"/>
      <c r="V238" s="117"/>
      <c r="W238" s="117"/>
      <c r="X238" s="117"/>
      <c r="Y238" s="117"/>
      <c r="Z238" s="117"/>
      <c r="AA238" s="18"/>
      <c r="AB238" s="18"/>
    </row>
    <row r="239" spans="16:33" ht="12" customHeight="1" thickBot="1" x14ac:dyDescent="0.25">
      <c r="P239" s="890"/>
      <c r="Q239" s="891"/>
      <c r="R239" s="891"/>
      <c r="S239" s="891"/>
      <c r="T239" s="892"/>
      <c r="U239" s="117"/>
      <c r="V239" s="117"/>
      <c r="W239" s="117"/>
      <c r="X239" s="117"/>
      <c r="Y239" s="117"/>
      <c r="Z239" s="117"/>
      <c r="AA239" s="18"/>
      <c r="AB239" s="18"/>
    </row>
    <row r="240" spans="16:33" ht="12" customHeight="1" x14ac:dyDescent="0.2">
      <c r="P240" s="310"/>
      <c r="Q240" s="96"/>
      <c r="R240" s="473" t="s">
        <v>33</v>
      </c>
      <c r="S240" s="474"/>
      <c r="T240" s="311"/>
      <c r="U240" s="117"/>
      <c r="V240" s="117"/>
      <c r="W240" s="117"/>
      <c r="X240" s="117"/>
      <c r="Y240" s="117"/>
      <c r="Z240" s="117"/>
      <c r="AA240" s="18"/>
      <c r="AB240" s="18"/>
    </row>
    <row r="241" spans="16:28" ht="12" customHeight="1" thickBot="1" x14ac:dyDescent="0.25">
      <c r="P241" s="312" t="s">
        <v>121</v>
      </c>
      <c r="Q241" s="99"/>
      <c r="R241" s="100" t="s">
        <v>122</v>
      </c>
      <c r="S241" s="100" t="s">
        <v>38</v>
      </c>
      <c r="T241" s="313" t="s">
        <v>123</v>
      </c>
      <c r="U241" s="117"/>
      <c r="V241" s="117"/>
      <c r="W241" s="117"/>
      <c r="X241" s="117"/>
      <c r="Y241" s="117"/>
      <c r="Z241" s="117"/>
      <c r="AA241" s="18"/>
    </row>
    <row r="242" spans="16:28" ht="12" customHeight="1" x14ac:dyDescent="0.2">
      <c r="P242" s="435" t="s">
        <v>701</v>
      </c>
      <c r="Q242" s="416" t="s">
        <v>350</v>
      </c>
      <c r="R242" s="284">
        <v>1</v>
      </c>
      <c r="S242" s="230">
        <f>($G$15/3)*17.5</f>
        <v>14000</v>
      </c>
      <c r="T242" s="315">
        <f>R242*S242</f>
        <v>14000</v>
      </c>
      <c r="U242" s="60" t="s">
        <v>41</v>
      </c>
      <c r="V242" s="117"/>
      <c r="W242" s="117"/>
      <c r="X242" s="117"/>
      <c r="Y242" s="117"/>
      <c r="Z242" s="117"/>
      <c r="AA242" s="18"/>
    </row>
    <row r="243" spans="16:28" ht="12" customHeight="1" x14ac:dyDescent="0.2">
      <c r="P243" s="435" t="s">
        <v>702</v>
      </c>
      <c r="Q243" s="416" t="s">
        <v>352</v>
      </c>
      <c r="R243" s="187">
        <v>1</v>
      </c>
      <c r="S243" s="230">
        <f>IF($G$15&lt;=450,R262,(IF($G$15&lt;=800,R263,(IF($G$15&lt;=1200,R264,(IF($G$15&lt;=1600,R265,(IF($G$15&gt;1600,R266)))))))))</f>
        <v>4800</v>
      </c>
      <c r="T243" s="315">
        <f>R243*S243</f>
        <v>4800</v>
      </c>
      <c r="U243" s="18"/>
      <c r="V243" s="117"/>
      <c r="W243" s="117"/>
      <c r="X243" s="117"/>
      <c r="Y243" s="117"/>
      <c r="Z243" s="117"/>
      <c r="AA243" s="18"/>
    </row>
    <row r="244" spans="16:28" ht="12" customHeight="1" x14ac:dyDescent="0.2">
      <c r="P244" s="435" t="s">
        <v>703</v>
      </c>
      <c r="Q244" s="49" t="s">
        <v>704</v>
      </c>
      <c r="R244" s="187">
        <v>1</v>
      </c>
      <c r="S244" s="230">
        <f>IF($G$15&lt;=450,S262,(IF($G$15&lt;=800,S263,(IF($G$15&lt;=1200,S264,(IF($G$15&lt;=1600,S265,(IF($G$15&gt;1600,S266)))))))))</f>
        <v>1000</v>
      </c>
      <c r="T244" s="315">
        <f t="shared" ref="T244:T250" si="23">R244*S244</f>
        <v>1000</v>
      </c>
      <c r="U244" s="60"/>
      <c r="V244" s="117"/>
      <c r="W244" s="117"/>
      <c r="X244" s="117"/>
      <c r="Y244" s="117"/>
      <c r="Z244" s="117"/>
      <c r="AA244" s="18"/>
    </row>
    <row r="245" spans="16:28" ht="12" customHeight="1" x14ac:dyDescent="0.2">
      <c r="P245" s="435" t="s">
        <v>705</v>
      </c>
      <c r="Q245" s="49" t="s">
        <v>706</v>
      </c>
      <c r="R245" s="187">
        <v>1</v>
      </c>
      <c r="S245" s="230">
        <f>IF($G$15&lt;=450,T262,(IF($G$15&lt;=800,T263,(IF($G$15&lt;=1200,T264,(IF($G$15&lt;=1600,T265,(IF($G$15&gt;1600,T266)))))))))</f>
        <v>800</v>
      </c>
      <c r="T245" s="315">
        <f t="shared" si="23"/>
        <v>800</v>
      </c>
      <c r="U245" s="60"/>
      <c r="V245" s="117"/>
      <c r="W245" s="117"/>
      <c r="X245" s="117"/>
      <c r="Y245" s="117"/>
      <c r="Z245" s="117"/>
      <c r="AA245" s="18"/>
      <c r="AB245" s="18"/>
    </row>
    <row r="246" spans="16:28" ht="12" customHeight="1" x14ac:dyDescent="0.2">
      <c r="P246" s="435" t="s">
        <v>707</v>
      </c>
      <c r="Q246" s="49" t="s">
        <v>708</v>
      </c>
      <c r="R246" s="187">
        <v>1</v>
      </c>
      <c r="S246" s="230">
        <f>IF($G$15&lt;=450,U262,(IF($G$15&lt;=800,U263,(IF($G$15&lt;=1200,U264,(IF($G$15&lt;=1600,U265,(IF($G$15&gt;1600,U266)))))))))</f>
        <v>400</v>
      </c>
      <c r="T246" s="315">
        <f t="shared" si="23"/>
        <v>400</v>
      </c>
      <c r="U246" s="117"/>
      <c r="V246" s="117"/>
      <c r="W246" s="117"/>
      <c r="X246" s="117"/>
      <c r="Y246" s="117"/>
      <c r="Z246" s="117"/>
      <c r="AA246" s="18"/>
      <c r="AB246" s="18"/>
    </row>
    <row r="247" spans="16:28" ht="12" customHeight="1" x14ac:dyDescent="0.2">
      <c r="P247" s="435" t="s">
        <v>709</v>
      </c>
      <c r="Q247" s="49" t="s">
        <v>710</v>
      </c>
      <c r="R247" s="187">
        <v>1</v>
      </c>
      <c r="S247" s="230">
        <f>IF($G$15&lt;=450,V262,(IF($G$15&lt;=800,V263,(IF($G$15&lt;=1200,V264,(IF($G$15&lt;=1600,V265,(IF($G$15&gt;1600,V266)))))))))</f>
        <v>1000</v>
      </c>
      <c r="T247" s="315">
        <f t="shared" si="23"/>
        <v>1000</v>
      </c>
      <c r="W247" s="117"/>
      <c r="X247" s="117"/>
      <c r="Y247" s="117"/>
      <c r="Z247" s="117"/>
      <c r="AA247" s="18"/>
      <c r="AB247" s="18"/>
    </row>
    <row r="248" spans="16:28" ht="12" customHeight="1" x14ac:dyDescent="0.2">
      <c r="P248" s="435" t="s">
        <v>711</v>
      </c>
      <c r="Q248" s="49" t="s">
        <v>354</v>
      </c>
      <c r="R248" s="187">
        <v>1</v>
      </c>
      <c r="S248" s="230">
        <f>IF($G$15&lt;=450,W262,(IF($G$15&lt;=800,W263,(IF($G$15&lt;=1200,W264,(IF($G$15&lt;=1600,W265,(IF($G$15&gt;1600,W266)))))))))</f>
        <v>1200</v>
      </c>
      <c r="T248" s="315">
        <f t="shared" si="23"/>
        <v>1200</v>
      </c>
      <c r="W248" s="76"/>
      <c r="X248" s="76"/>
      <c r="Y248" s="76"/>
      <c r="Z248" s="76"/>
      <c r="AA248" s="18"/>
      <c r="AB248" s="18"/>
    </row>
    <row r="249" spans="16:28" ht="12" customHeight="1" x14ac:dyDescent="0.2">
      <c r="P249" s="435" t="s">
        <v>712</v>
      </c>
      <c r="Q249" s="49" t="s">
        <v>713</v>
      </c>
      <c r="R249" s="187">
        <v>1</v>
      </c>
      <c r="S249" s="230">
        <f>IF($G$15&lt;=450,X262,(IF($G$15&lt;=800,X263,(IF($G$15&lt;=1200,X264,(IF($G$15&lt;=1600,X265,(IF($G$15&gt;1600,X266)))))))))</f>
        <v>0</v>
      </c>
      <c r="T249" s="315">
        <f t="shared" si="23"/>
        <v>0</v>
      </c>
      <c r="W249" s="122"/>
      <c r="X249" s="122"/>
      <c r="Y249" s="122"/>
      <c r="Z249" s="122"/>
      <c r="AA249" s="18"/>
      <c r="AB249" s="18"/>
    </row>
    <row r="250" spans="16:28" ht="12" customHeight="1" x14ac:dyDescent="0.2">
      <c r="P250" s="435" t="s">
        <v>714</v>
      </c>
      <c r="Q250" s="49" t="s">
        <v>358</v>
      </c>
      <c r="R250" s="354">
        <v>1</v>
      </c>
      <c r="S250" s="300">
        <f>IF($G$15&lt;=450,Y262,(IF($G$15&lt;=800,Y263,(IF($G$15&lt;=1200,Y264,(IF($G$15&lt;=1600,Y265,(IF($G$15&gt;1600,Y266)))))))))</f>
        <v>160</v>
      </c>
      <c r="T250" s="349">
        <f t="shared" si="23"/>
        <v>160</v>
      </c>
      <c r="W250" s="122"/>
      <c r="X250" s="122"/>
      <c r="Y250" s="122"/>
      <c r="Z250" s="122"/>
      <c r="AA250" s="18"/>
      <c r="AB250" s="18"/>
    </row>
    <row r="251" spans="16:28" ht="12" customHeight="1" x14ac:dyDescent="0.2">
      <c r="P251" s="435"/>
      <c r="Q251" s="49"/>
      <c r="R251" s="323"/>
      <c r="S251" s="80"/>
      <c r="T251" s="318"/>
      <c r="U251" s="117"/>
      <c r="V251" s="117"/>
      <c r="W251" s="122"/>
      <c r="X251" s="122"/>
      <c r="Y251" s="122"/>
      <c r="Z251" s="122"/>
      <c r="AA251" s="18"/>
      <c r="AB251" s="18"/>
    </row>
    <row r="252" spans="16:28" ht="12" customHeight="1" thickBot="1" x14ac:dyDescent="0.25">
      <c r="P252" s="379" t="s">
        <v>359</v>
      </c>
      <c r="Q252" s="347"/>
      <c r="R252" s="356"/>
      <c r="S252" s="321"/>
      <c r="T252" s="322">
        <f>SUM(T242:T250)</f>
        <v>23360</v>
      </c>
      <c r="U252" s="117"/>
      <c r="V252" s="117"/>
      <c r="W252" s="122"/>
      <c r="X252" s="122"/>
      <c r="Y252" s="122"/>
      <c r="Z252" s="122"/>
      <c r="AA252" s="18"/>
      <c r="AB252" s="18"/>
    </row>
    <row r="253" spans="16:28" ht="12" customHeight="1" thickBot="1" x14ac:dyDescent="0.25">
      <c r="P253" s="51"/>
      <c r="Q253" s="51"/>
      <c r="R253" s="76"/>
      <c r="S253" s="76"/>
      <c r="T253" s="76"/>
      <c r="U253" s="76"/>
      <c r="V253" s="76"/>
      <c r="W253" s="122"/>
      <c r="X253" s="122"/>
      <c r="Y253" s="122"/>
      <c r="Z253" s="122"/>
      <c r="AA253" s="18"/>
      <c r="AB253" s="18"/>
    </row>
    <row r="254" spans="16:28" ht="12" customHeight="1" thickBot="1" x14ac:dyDescent="0.25">
      <c r="P254" s="945" t="s">
        <v>360</v>
      </c>
      <c r="Q254" s="946"/>
      <c r="R254" s="946"/>
      <c r="S254" s="946"/>
      <c r="T254" s="946"/>
      <c r="U254" s="946"/>
      <c r="V254" s="947"/>
      <c r="W254" s="122"/>
      <c r="X254" s="122"/>
      <c r="Y254" s="122"/>
      <c r="Z254" s="122"/>
      <c r="AA254" s="18"/>
      <c r="AB254" s="18"/>
    </row>
    <row r="255" spans="16:28" ht="12" customHeight="1" thickBot="1" x14ac:dyDescent="0.25">
      <c r="P255" s="149" t="s">
        <v>23</v>
      </c>
      <c r="Q255" s="150" t="s">
        <v>24</v>
      </c>
      <c r="R255" s="151"/>
      <c r="S255" s="151"/>
      <c r="T255" s="151"/>
      <c r="U255" s="151"/>
      <c r="V255" s="152"/>
      <c r="W255" s="117"/>
      <c r="X255" s="117"/>
      <c r="Y255" s="117"/>
      <c r="Z255" s="117"/>
      <c r="AA255" s="117"/>
      <c r="AB255" s="117"/>
    </row>
    <row r="256" spans="16:28" ht="12" customHeight="1" x14ac:dyDescent="0.2">
      <c r="P256" s="68">
        <v>1</v>
      </c>
      <c r="Q256" s="153" t="s">
        <v>361</v>
      </c>
      <c r="R256" s="154"/>
      <c r="S256" s="154"/>
      <c r="T256" s="154"/>
      <c r="U256" s="154"/>
      <c r="V256" s="155"/>
      <c r="W256" s="117"/>
      <c r="X256" s="117"/>
      <c r="Y256" s="117"/>
      <c r="Z256" s="117"/>
      <c r="AA256" s="117"/>
      <c r="AB256" s="117"/>
    </row>
    <row r="257" spans="16:33" ht="12" customHeight="1" thickBot="1" x14ac:dyDescent="0.25">
      <c r="P257" s="71"/>
      <c r="Q257" s="164" t="s">
        <v>700</v>
      </c>
      <c r="R257" s="170"/>
      <c r="S257" s="170"/>
      <c r="T257" s="170"/>
      <c r="U257" s="170"/>
      <c r="V257" s="171"/>
      <c r="W257" s="117"/>
      <c r="X257" s="117"/>
      <c r="Y257" s="117"/>
      <c r="Z257" s="117"/>
      <c r="AA257" s="117"/>
      <c r="AB257" s="117"/>
    </row>
    <row r="258" spans="16:33" ht="12" customHeight="1" x14ac:dyDescent="0.2">
      <c r="P258" s="117"/>
      <c r="Q258" s="122"/>
      <c r="R258" s="122"/>
      <c r="S258" s="122"/>
      <c r="T258" s="117"/>
      <c r="U258" s="117"/>
      <c r="V258" s="117"/>
      <c r="W258" s="117"/>
      <c r="X258" s="117"/>
      <c r="Y258" s="117"/>
      <c r="Z258" s="117"/>
      <c r="AA258" s="117"/>
      <c r="AB258" s="117"/>
    </row>
    <row r="259" spans="16:33" ht="12" customHeight="1" thickBot="1" x14ac:dyDescent="0.25">
      <c r="P259" s="117"/>
      <c r="Q259" s="122"/>
      <c r="R259" s="122"/>
      <c r="S259" s="122"/>
      <c r="T259" s="117"/>
      <c r="U259" s="117"/>
      <c r="V259" s="117"/>
      <c r="W259" s="117"/>
      <c r="X259" s="117"/>
      <c r="Y259" s="117"/>
      <c r="Z259" s="117"/>
      <c r="AA259" s="117"/>
      <c r="AB259" s="117"/>
    </row>
    <row r="260" spans="16:33" ht="12" customHeight="1" thickBot="1" x14ac:dyDescent="0.25">
      <c r="P260" s="117"/>
      <c r="Q260" s="987" t="s">
        <v>102</v>
      </c>
      <c r="R260" s="988"/>
      <c r="S260" s="988"/>
      <c r="T260" s="988"/>
      <c r="U260" s="988"/>
      <c r="V260" s="988"/>
      <c r="W260" s="988"/>
      <c r="X260" s="988"/>
      <c r="Y260" s="988"/>
      <c r="Z260" s="989"/>
      <c r="AA260" s="117"/>
      <c r="AB260" s="117"/>
    </row>
    <row r="261" spans="16:33" ht="12" customHeight="1" thickBot="1" x14ac:dyDescent="0.25">
      <c r="P261" s="117"/>
      <c r="Q261" s="369" t="s">
        <v>103</v>
      </c>
      <c r="R261" s="135" t="s">
        <v>364</v>
      </c>
      <c r="S261" s="135" t="s">
        <v>365</v>
      </c>
      <c r="T261" s="135" t="s">
        <v>366</v>
      </c>
      <c r="U261" s="135" t="s">
        <v>367</v>
      </c>
      <c r="V261" s="135" t="s">
        <v>715</v>
      </c>
      <c r="W261" s="135" t="s">
        <v>716</v>
      </c>
      <c r="X261" s="135" t="s">
        <v>717</v>
      </c>
      <c r="Y261" s="135" t="s">
        <v>718</v>
      </c>
      <c r="Z261" s="370" t="s">
        <v>179</v>
      </c>
      <c r="AA261" s="117"/>
      <c r="AB261" s="117"/>
    </row>
    <row r="262" spans="16:33" ht="12" customHeight="1" x14ac:dyDescent="0.2">
      <c r="P262" s="368">
        <v>3000</v>
      </c>
      <c r="Q262" s="302" t="s">
        <v>458</v>
      </c>
      <c r="R262" s="203">
        <v>1000</v>
      </c>
      <c r="S262" s="204">
        <v>400</v>
      </c>
      <c r="T262" s="204">
        <v>400</v>
      </c>
      <c r="U262" s="204">
        <v>0</v>
      </c>
      <c r="V262" s="204">
        <v>200</v>
      </c>
      <c r="W262" s="204">
        <v>0</v>
      </c>
      <c r="X262" s="204">
        <v>400</v>
      </c>
      <c r="Y262" s="204">
        <v>80</v>
      </c>
      <c r="Z262" s="371">
        <f>SUM(R262:Y262)+P262</f>
        <v>5480</v>
      </c>
      <c r="AA262" s="117"/>
      <c r="AB262" s="117"/>
    </row>
    <row r="263" spans="16:33" ht="12" customHeight="1" x14ac:dyDescent="0.2">
      <c r="P263" s="368">
        <v>4667</v>
      </c>
      <c r="Q263" s="303" t="s">
        <v>569</v>
      </c>
      <c r="R263" s="141">
        <v>1600</v>
      </c>
      <c r="S263" s="197">
        <v>450</v>
      </c>
      <c r="T263" s="197">
        <v>500</v>
      </c>
      <c r="U263" s="197">
        <v>200</v>
      </c>
      <c r="V263" s="197">
        <v>400</v>
      </c>
      <c r="W263" s="197">
        <v>600</v>
      </c>
      <c r="X263" s="197">
        <v>500</v>
      </c>
      <c r="Y263" s="197">
        <v>80</v>
      </c>
      <c r="Z263" s="371">
        <f t="shared" ref="Z263:Z266" si="24">SUM(R263:Y263)+P263</f>
        <v>8997</v>
      </c>
      <c r="AA263" s="117"/>
      <c r="AB263" s="117"/>
    </row>
    <row r="264" spans="16:33" ht="12" customHeight="1" x14ac:dyDescent="0.2">
      <c r="P264" s="368">
        <v>7000</v>
      </c>
      <c r="Q264" s="303" t="s">
        <v>570</v>
      </c>
      <c r="R264" s="141">
        <v>2400</v>
      </c>
      <c r="S264" s="197">
        <v>500</v>
      </c>
      <c r="T264" s="197">
        <v>500</v>
      </c>
      <c r="U264" s="197">
        <v>200</v>
      </c>
      <c r="V264" s="197">
        <v>500</v>
      </c>
      <c r="W264" s="197">
        <v>750</v>
      </c>
      <c r="X264" s="197">
        <v>600</v>
      </c>
      <c r="Y264" s="197">
        <v>80</v>
      </c>
      <c r="Z264" s="371">
        <f t="shared" si="24"/>
        <v>12530</v>
      </c>
    </row>
    <row r="265" spans="16:33" ht="12" customHeight="1" x14ac:dyDescent="0.2">
      <c r="P265" s="368">
        <v>9333</v>
      </c>
      <c r="Q265" s="303" t="s">
        <v>571</v>
      </c>
      <c r="R265" s="141">
        <v>3200</v>
      </c>
      <c r="S265" s="197">
        <v>600</v>
      </c>
      <c r="T265" s="197">
        <v>600</v>
      </c>
      <c r="U265" s="197">
        <v>200</v>
      </c>
      <c r="V265" s="197">
        <v>600</v>
      </c>
      <c r="W265" s="197">
        <v>900</v>
      </c>
      <c r="X265" s="197">
        <v>700</v>
      </c>
      <c r="Y265" s="197">
        <v>80</v>
      </c>
      <c r="Z265" s="371">
        <f t="shared" si="24"/>
        <v>16213</v>
      </c>
    </row>
    <row r="266" spans="16:33" ht="12" customHeight="1" thickBot="1" x14ac:dyDescent="0.25">
      <c r="P266" s="368">
        <v>14000</v>
      </c>
      <c r="Q266" s="304" t="s">
        <v>575</v>
      </c>
      <c r="R266" s="143">
        <v>4800</v>
      </c>
      <c r="S266" s="199">
        <v>1000</v>
      </c>
      <c r="T266" s="199">
        <v>800</v>
      </c>
      <c r="U266" s="199">
        <v>400</v>
      </c>
      <c r="V266" s="199">
        <v>1000</v>
      </c>
      <c r="W266" s="199">
        <v>1200</v>
      </c>
      <c r="X266" s="199">
        <v>0</v>
      </c>
      <c r="Y266" s="199">
        <v>160</v>
      </c>
      <c r="Z266" s="371">
        <f t="shared" si="24"/>
        <v>23360</v>
      </c>
    </row>
    <row r="267" spans="16:33" ht="12" customHeight="1" thickBot="1" x14ac:dyDescent="0.25">
      <c r="Q267" s="990" t="s">
        <v>110</v>
      </c>
      <c r="R267" s="991"/>
      <c r="S267" s="991"/>
      <c r="T267" s="991"/>
      <c r="U267" s="991"/>
      <c r="V267" s="991"/>
      <c r="W267" s="991"/>
      <c r="X267" s="991"/>
      <c r="Y267" s="991"/>
      <c r="Z267" s="992"/>
    </row>
    <row r="268" spans="16:33" ht="12" customHeight="1" x14ac:dyDescent="0.2"/>
    <row r="269" spans="16:33" ht="12" customHeight="1" x14ac:dyDescent="0.2"/>
    <row r="270" spans="16:33" ht="12" customHeight="1" x14ac:dyDescent="0.2"/>
    <row r="271" spans="16:33" ht="12" customHeight="1" x14ac:dyDescent="0.2"/>
    <row r="272" spans="16:33" ht="12" customHeight="1" x14ac:dyDescent="0.2">
      <c r="AC272" s="2"/>
      <c r="AD272" s="2"/>
      <c r="AE272" s="2"/>
      <c r="AF272" s="2"/>
      <c r="AG272" s="2"/>
    </row>
    <row r="273" spans="16:33" ht="12" customHeight="1" x14ac:dyDescent="0.2">
      <c r="AC273" s="2"/>
      <c r="AD273" s="2"/>
      <c r="AE273" s="2"/>
      <c r="AF273" s="2"/>
      <c r="AG273" s="2"/>
    </row>
    <row r="274" spans="16:33" ht="12" customHeight="1" x14ac:dyDescent="0.2">
      <c r="AC274" s="2"/>
      <c r="AD274" s="2"/>
      <c r="AE274" s="2"/>
      <c r="AF274" s="2"/>
      <c r="AG274" s="2"/>
    </row>
    <row r="275" spans="16:33" ht="12" customHeight="1" x14ac:dyDescent="0.2">
      <c r="AC275" s="2"/>
      <c r="AD275" s="2"/>
      <c r="AE275" s="2"/>
      <c r="AF275" s="2"/>
      <c r="AG275" s="2"/>
    </row>
    <row r="276" spans="16:33" ht="12" customHeight="1" thickBot="1" x14ac:dyDescent="0.25">
      <c r="AC276" s="2"/>
      <c r="AD276" s="2"/>
      <c r="AE276" s="2"/>
      <c r="AF276" s="2"/>
      <c r="AG276" s="2"/>
    </row>
    <row r="277" spans="16:33" ht="12" customHeight="1" x14ac:dyDescent="0.2">
      <c r="P277" s="970" t="s">
        <v>182</v>
      </c>
      <c r="Q277" s="951"/>
      <c r="R277" s="951"/>
      <c r="S277" s="951"/>
      <c r="T277" s="971"/>
      <c r="U277" s="2"/>
      <c r="V277" s="2"/>
      <c r="W277" s="2"/>
      <c r="X277" s="2"/>
      <c r="Y277" s="2"/>
      <c r="Z277" s="2"/>
      <c r="AA277" s="117"/>
      <c r="AB277" s="2"/>
      <c r="AC277" s="2"/>
      <c r="AD277" s="2"/>
      <c r="AE277" s="2"/>
      <c r="AF277" s="2"/>
      <c r="AG277" s="2"/>
    </row>
    <row r="278" spans="16:33" ht="12" customHeight="1" thickBot="1" x14ac:dyDescent="0.25">
      <c r="P278" s="972"/>
      <c r="Q278" s="891"/>
      <c r="R278" s="891"/>
      <c r="S278" s="891"/>
      <c r="T278" s="973"/>
      <c r="U278" s="2"/>
      <c r="V278" s="2"/>
      <c r="W278" s="2"/>
      <c r="X278" s="2"/>
      <c r="Y278" s="2"/>
      <c r="Z278" s="2"/>
      <c r="AA278" s="117"/>
      <c r="AB278" s="2"/>
      <c r="AC278" s="2"/>
      <c r="AD278" s="2"/>
      <c r="AE278" s="2"/>
      <c r="AF278" s="2"/>
      <c r="AG278" s="2"/>
    </row>
    <row r="279" spans="16:33" ht="12" customHeight="1" x14ac:dyDescent="0.2">
      <c r="P279" s="95"/>
      <c r="Q279" s="96"/>
      <c r="R279" s="473" t="s">
        <v>33</v>
      </c>
      <c r="S279" s="474"/>
      <c r="T279" s="475"/>
      <c r="U279" s="2"/>
      <c r="V279" s="2"/>
      <c r="W279" s="2"/>
      <c r="X279" s="2"/>
      <c r="Y279" s="2"/>
      <c r="Z279" s="2"/>
      <c r="AA279" s="117"/>
      <c r="AB279" s="2"/>
      <c r="AC279" s="2"/>
      <c r="AD279" s="2"/>
      <c r="AE279" s="2"/>
      <c r="AF279" s="2"/>
      <c r="AG279" s="2"/>
    </row>
    <row r="280" spans="16:33" ht="12" customHeight="1" thickBot="1" x14ac:dyDescent="0.25">
      <c r="P280" s="98" t="s">
        <v>121</v>
      </c>
      <c r="Q280" s="99"/>
      <c r="R280" s="100" t="s">
        <v>122</v>
      </c>
      <c r="S280" s="100" t="s">
        <v>38</v>
      </c>
      <c r="T280" s="99" t="s">
        <v>123</v>
      </c>
      <c r="U280" s="2"/>
      <c r="V280" s="2"/>
      <c r="W280" s="2"/>
      <c r="X280" s="2"/>
      <c r="Y280" s="2"/>
      <c r="Z280" s="2"/>
      <c r="AA280" s="2"/>
      <c r="AB280" s="2"/>
      <c r="AC280" s="2"/>
      <c r="AD280" s="2"/>
      <c r="AE280" s="2"/>
      <c r="AF280" s="2"/>
      <c r="AG280" s="2"/>
    </row>
    <row r="281" spans="16:33" ht="12" customHeight="1" x14ac:dyDescent="0.2">
      <c r="P281" s="210" t="s">
        <v>851</v>
      </c>
      <c r="Q281" s="22" t="s">
        <v>96</v>
      </c>
      <c r="R281" s="211">
        <v>0</v>
      </c>
      <c r="S281" s="212" t="e">
        <v>#REF!</v>
      </c>
      <c r="T281" s="213" t="e">
        <f>R281*S281</f>
        <v>#REF!</v>
      </c>
      <c r="U281" s="214"/>
      <c r="V281" s="2"/>
      <c r="W281" s="2"/>
      <c r="X281" s="2"/>
      <c r="Y281" s="2"/>
      <c r="Z281" s="2"/>
      <c r="AA281" s="2"/>
      <c r="AB281" s="2"/>
      <c r="AC281" s="2"/>
      <c r="AD281" s="2"/>
      <c r="AE281" s="2"/>
      <c r="AF281" s="2"/>
      <c r="AG281" s="2"/>
    </row>
    <row r="282" spans="16:33" ht="12" customHeight="1" x14ac:dyDescent="0.2">
      <c r="P282" s="210" t="s">
        <v>852</v>
      </c>
      <c r="Q282" s="22" t="s">
        <v>185</v>
      </c>
      <c r="R282" s="187">
        <v>1</v>
      </c>
      <c r="S282" s="80"/>
      <c r="T282" s="73">
        <f>(S283+S284+S285+S286+S287)*R282</f>
        <v>8400</v>
      </c>
      <c r="U282" s="214"/>
      <c r="V282" s="2"/>
      <c r="W282" s="2"/>
      <c r="X282" s="2"/>
      <c r="Y282" s="2"/>
      <c r="Z282" s="2"/>
      <c r="AA282" s="2"/>
      <c r="AB282" s="2"/>
      <c r="AC282" s="2"/>
      <c r="AD282" s="2"/>
      <c r="AE282" s="2"/>
      <c r="AF282" s="2"/>
      <c r="AG282" s="2"/>
    </row>
    <row r="283" spans="16:33" ht="12" customHeight="1" x14ac:dyDescent="0.2">
      <c r="P283" s="210" t="s">
        <v>853</v>
      </c>
      <c r="Q283" s="22" t="s">
        <v>188</v>
      </c>
      <c r="R283" s="216"/>
      <c r="S283" s="80">
        <f>0.36*(3.5*$G$15)</f>
        <v>3024</v>
      </c>
      <c r="T283" s="73"/>
      <c r="U283" s="168"/>
      <c r="V283" s="2"/>
      <c r="W283" s="2"/>
      <c r="X283" s="2"/>
      <c r="Y283" s="2"/>
      <c r="Z283" s="2"/>
      <c r="AA283" s="2"/>
      <c r="AB283" s="2"/>
      <c r="AC283" s="2"/>
      <c r="AD283" s="2"/>
      <c r="AE283" s="2"/>
      <c r="AF283" s="2"/>
      <c r="AG283" s="2"/>
    </row>
    <row r="284" spans="16:33" ht="12" customHeight="1" x14ac:dyDescent="0.2">
      <c r="P284" s="210" t="s">
        <v>854</v>
      </c>
      <c r="Q284" s="22" t="s">
        <v>191</v>
      </c>
      <c r="R284" s="217"/>
      <c r="S284" s="80">
        <f>0.34*(3.5*$G$15)</f>
        <v>2856</v>
      </c>
      <c r="T284" s="73"/>
      <c r="U284" s="168"/>
      <c r="V284" s="2"/>
      <c r="W284" s="2"/>
      <c r="X284" s="2"/>
      <c r="Y284" s="2"/>
      <c r="Z284" s="2"/>
      <c r="AA284" s="2"/>
      <c r="AB284" s="2"/>
      <c r="AC284" s="2"/>
      <c r="AD284" s="2"/>
      <c r="AE284" s="2"/>
      <c r="AF284" s="2"/>
      <c r="AG284" s="2"/>
    </row>
    <row r="285" spans="16:33" ht="12" customHeight="1" x14ac:dyDescent="0.2">
      <c r="P285" s="210" t="s">
        <v>855</v>
      </c>
      <c r="Q285" s="22" t="s">
        <v>193</v>
      </c>
      <c r="R285" s="217"/>
      <c r="S285" s="80">
        <f>0.11*(3.5*$G$15)</f>
        <v>924</v>
      </c>
      <c r="T285" s="73"/>
      <c r="U285" s="168"/>
      <c r="V285" s="2"/>
      <c r="W285" s="2"/>
      <c r="X285" s="2"/>
      <c r="Y285" s="2"/>
      <c r="Z285" s="2"/>
      <c r="AA285" s="2"/>
      <c r="AB285" s="2"/>
      <c r="AC285" s="2"/>
      <c r="AD285" s="2"/>
      <c r="AE285" s="2"/>
      <c r="AF285" s="2"/>
      <c r="AG285" s="2"/>
    </row>
    <row r="286" spans="16:33" ht="12" customHeight="1" x14ac:dyDescent="0.2">
      <c r="P286" s="210" t="s">
        <v>856</v>
      </c>
      <c r="Q286" s="22" t="s">
        <v>195</v>
      </c>
      <c r="R286" s="217"/>
      <c r="S286" s="80">
        <f>0.1*(3.5*$G$15)</f>
        <v>840</v>
      </c>
      <c r="T286" s="73"/>
      <c r="U286" s="168"/>
      <c r="V286" s="2"/>
      <c r="W286" s="2"/>
      <c r="X286" s="2"/>
      <c r="Y286" s="2"/>
      <c r="Z286" s="2"/>
      <c r="AA286" s="2"/>
      <c r="AB286" s="2"/>
      <c r="AC286" s="2"/>
      <c r="AD286" s="2"/>
      <c r="AE286" s="2"/>
      <c r="AF286" s="2"/>
      <c r="AG286" s="2"/>
    </row>
    <row r="287" spans="16:33" ht="12" customHeight="1" x14ac:dyDescent="0.2">
      <c r="P287" s="210" t="s">
        <v>859</v>
      </c>
      <c r="Q287" s="22" t="s">
        <v>197</v>
      </c>
      <c r="R287" s="217"/>
      <c r="S287" s="80">
        <f>0.09*(3.5*$G$15)</f>
        <v>756</v>
      </c>
      <c r="T287" s="73"/>
      <c r="U287" s="168"/>
      <c r="V287" s="2"/>
      <c r="W287" s="2"/>
      <c r="X287" s="2"/>
      <c r="Y287" s="2"/>
      <c r="Z287" s="2"/>
      <c r="AA287" s="218"/>
      <c r="AB287" s="2"/>
      <c r="AC287" s="2"/>
      <c r="AD287" s="2"/>
      <c r="AE287" s="2"/>
      <c r="AF287" s="2"/>
      <c r="AG287" s="2"/>
    </row>
    <row r="288" spans="16:33" ht="12" customHeight="1" x14ac:dyDescent="0.2">
      <c r="P288" s="210" t="s">
        <v>857</v>
      </c>
      <c r="Q288" s="22" t="s">
        <v>99</v>
      </c>
      <c r="R288" s="106">
        <v>1</v>
      </c>
      <c r="S288" s="167">
        <f>IF($G$15&lt;=450,R305,(IF($G$15&lt;=800,R306,(IF($G$15&lt;=1200,R307,(IF($G$15&lt;=1600,R308,(IF($G$15&gt;1600,R309)))))))))</f>
        <v>75</v>
      </c>
      <c r="T288" s="104">
        <f>R288*S288</f>
        <v>75</v>
      </c>
      <c r="U288" s="2"/>
      <c r="V288" s="2"/>
      <c r="W288" s="2"/>
      <c r="X288" s="2"/>
      <c r="Y288" s="2"/>
      <c r="Z288" s="2"/>
      <c r="AA288" s="218"/>
      <c r="AB288" s="2"/>
      <c r="AC288" s="2"/>
      <c r="AD288" s="2"/>
      <c r="AE288" s="2"/>
      <c r="AF288" s="2"/>
      <c r="AG288" s="2"/>
    </row>
    <row r="289" spans="16:33" ht="12" customHeight="1" x14ac:dyDescent="0.2">
      <c r="P289" s="210" t="s">
        <v>858</v>
      </c>
      <c r="Q289" s="22" t="s">
        <v>101</v>
      </c>
      <c r="R289" s="106">
        <v>1</v>
      </c>
      <c r="S289" s="169">
        <f>IF($G$15&lt;=450,S305,(IF($G$15&lt;=800,S306,(IF($G$15&lt;=1200,S307,(IF($G$15&lt;=1600,S308,(IF($G$15&gt;1600,S309)))))))))</f>
        <v>280</v>
      </c>
      <c r="T289" s="112">
        <f>R289*S289</f>
        <v>280</v>
      </c>
      <c r="U289" s="2"/>
      <c r="V289" s="2"/>
      <c r="W289" s="2"/>
      <c r="X289" s="2"/>
      <c r="Y289" s="2"/>
      <c r="Z289" s="2"/>
      <c r="AA289" s="218"/>
      <c r="AB289" s="2"/>
      <c r="AC289" s="2"/>
      <c r="AD289" s="2"/>
      <c r="AE289" s="2"/>
      <c r="AF289" s="2"/>
      <c r="AG289" s="2"/>
    </row>
    <row r="290" spans="16:33" ht="12" customHeight="1" x14ac:dyDescent="0.2">
      <c r="P290" s="215"/>
      <c r="Q290" s="22"/>
      <c r="R290" s="80"/>
      <c r="S290" s="80"/>
      <c r="T290" s="73"/>
      <c r="U290" s="2"/>
      <c r="V290" s="2"/>
      <c r="W290" s="2"/>
      <c r="X290" s="2"/>
      <c r="Y290" s="2"/>
      <c r="Z290" s="2"/>
      <c r="AA290" s="117"/>
      <c r="AB290" s="2"/>
      <c r="AC290" s="2"/>
      <c r="AD290" s="2"/>
      <c r="AE290" s="2"/>
      <c r="AF290" s="2"/>
      <c r="AG290" s="2"/>
    </row>
    <row r="291" spans="16:33" ht="12" customHeight="1" thickBot="1" x14ac:dyDescent="0.25">
      <c r="P291" s="219" t="s">
        <v>198</v>
      </c>
      <c r="Q291" s="114"/>
      <c r="R291" s="148"/>
      <c r="S291" s="148"/>
      <c r="T291" s="116" t="e">
        <f>SUM(T281:T289)</f>
        <v>#REF!</v>
      </c>
      <c r="U291" s="2"/>
      <c r="V291" s="2"/>
      <c r="W291" s="2"/>
      <c r="X291" s="2"/>
      <c r="Y291" s="2"/>
      <c r="Z291" s="2"/>
      <c r="AA291" s="2"/>
      <c r="AB291" s="2"/>
      <c r="AC291" s="2"/>
      <c r="AD291" s="2"/>
      <c r="AE291" s="2"/>
      <c r="AF291" s="2"/>
      <c r="AG291" s="2"/>
    </row>
    <row r="292" spans="16:33" ht="12" customHeight="1" thickTop="1" thickBot="1" x14ac:dyDescent="0.25">
      <c r="P292" s="2"/>
      <c r="Q292" s="2"/>
      <c r="R292" s="2"/>
      <c r="S292" s="2"/>
      <c r="T292" s="2"/>
      <c r="U292" s="2"/>
      <c r="V292" s="2"/>
      <c r="W292" s="2"/>
      <c r="X292" s="2"/>
      <c r="Y292" s="2"/>
      <c r="Z292" s="2"/>
      <c r="AA292" s="2"/>
      <c r="AB292" s="2"/>
      <c r="AC292" s="2"/>
      <c r="AD292" s="2"/>
      <c r="AE292" s="2"/>
      <c r="AF292" s="2"/>
      <c r="AG292" s="2"/>
    </row>
    <row r="293" spans="16:33" ht="12" customHeight="1" thickBot="1" x14ac:dyDescent="0.25">
      <c r="P293" s="2"/>
      <c r="Q293" s="945" t="s">
        <v>200</v>
      </c>
      <c r="R293" s="946"/>
      <c r="S293" s="946"/>
      <c r="T293" s="946"/>
      <c r="U293" s="946"/>
      <c r="V293" s="947"/>
      <c r="W293" s="2"/>
      <c r="X293" s="2"/>
      <c r="Y293" s="2"/>
      <c r="Z293" s="2"/>
      <c r="AA293" s="2"/>
      <c r="AB293" s="2"/>
      <c r="AC293" s="2"/>
      <c r="AD293" s="2"/>
      <c r="AE293" s="2"/>
      <c r="AF293" s="2"/>
      <c r="AG293" s="2"/>
    </row>
    <row r="294" spans="16:33" ht="12" customHeight="1" thickBot="1" x14ac:dyDescent="0.25">
      <c r="P294" s="2"/>
      <c r="Q294" s="173" t="s">
        <v>88</v>
      </c>
      <c r="R294" s="194" t="s">
        <v>89</v>
      </c>
      <c r="S294" s="194" t="s">
        <v>90</v>
      </c>
      <c r="T294" s="194" t="s">
        <v>91</v>
      </c>
      <c r="U294" s="205" t="s">
        <v>92</v>
      </c>
      <c r="V294" s="174" t="s">
        <v>93</v>
      </c>
      <c r="W294" s="2"/>
      <c r="X294" s="2"/>
      <c r="Y294" s="2"/>
      <c r="Z294" s="2"/>
      <c r="AA294" s="2"/>
      <c r="AB294" s="2"/>
      <c r="AC294" s="2"/>
      <c r="AD294" s="2"/>
      <c r="AE294" s="2"/>
      <c r="AF294" s="2"/>
      <c r="AG294" s="2"/>
    </row>
    <row r="295" spans="16:33" ht="12" customHeight="1" x14ac:dyDescent="0.2">
      <c r="P295" s="2"/>
      <c r="Q295" s="176" t="s">
        <v>94</v>
      </c>
      <c r="R295" s="220" t="s">
        <v>89</v>
      </c>
      <c r="S295" s="221" t="s">
        <v>92</v>
      </c>
      <c r="T295" s="222">
        <v>3.5</v>
      </c>
      <c r="U295" s="206" t="s">
        <v>92</v>
      </c>
      <c r="V295" s="223">
        <v>0.36</v>
      </c>
      <c r="W295" s="2"/>
      <c r="X295" s="2"/>
      <c r="Y295" s="2"/>
      <c r="Z295" s="2"/>
      <c r="AA295" s="2"/>
      <c r="AB295" s="2"/>
      <c r="AC295" s="2"/>
      <c r="AD295" s="2"/>
      <c r="AE295" s="2"/>
    </row>
    <row r="296" spans="16:33" ht="12" customHeight="1" x14ac:dyDescent="0.2">
      <c r="P296" s="2"/>
      <c r="Q296" s="179" t="s">
        <v>722</v>
      </c>
      <c r="R296" s="221" t="s">
        <v>89</v>
      </c>
      <c r="S296" s="221" t="s">
        <v>92</v>
      </c>
      <c r="T296" s="222">
        <v>3.5</v>
      </c>
      <c r="U296" s="206" t="s">
        <v>92</v>
      </c>
      <c r="V296" s="224">
        <v>0.34</v>
      </c>
      <c r="W296" s="2"/>
      <c r="X296" s="2"/>
      <c r="Y296" s="2"/>
      <c r="Z296" s="2"/>
      <c r="AA296" s="2"/>
      <c r="AB296" s="2"/>
      <c r="AC296" s="2"/>
      <c r="AD296" s="2"/>
      <c r="AE296" s="2"/>
    </row>
    <row r="297" spans="16:33" ht="12" customHeight="1" x14ac:dyDescent="0.2">
      <c r="P297" s="2"/>
      <c r="Q297" s="179" t="s">
        <v>95</v>
      </c>
      <c r="R297" s="221" t="s">
        <v>89</v>
      </c>
      <c r="S297" s="221" t="s">
        <v>92</v>
      </c>
      <c r="T297" s="222">
        <v>3.5</v>
      </c>
      <c r="U297" s="206" t="s">
        <v>92</v>
      </c>
      <c r="V297" s="224">
        <v>0.11</v>
      </c>
      <c r="W297" s="2"/>
      <c r="X297" s="2"/>
      <c r="Y297" s="2"/>
      <c r="Z297" s="2"/>
      <c r="AA297" s="2"/>
      <c r="AB297" s="2"/>
      <c r="AC297" s="2"/>
      <c r="AD297" s="2"/>
      <c r="AE297" s="2"/>
    </row>
    <row r="298" spans="16:33" ht="12" customHeight="1" x14ac:dyDescent="0.2">
      <c r="P298" s="2"/>
      <c r="Q298" s="179" t="s">
        <v>720</v>
      </c>
      <c r="R298" s="221" t="s">
        <v>89</v>
      </c>
      <c r="S298" s="221" t="s">
        <v>92</v>
      </c>
      <c r="T298" s="222">
        <v>3.5</v>
      </c>
      <c r="U298" s="206" t="s">
        <v>92</v>
      </c>
      <c r="V298" s="224">
        <v>0.1</v>
      </c>
      <c r="W298" s="2"/>
      <c r="X298" s="2"/>
      <c r="Y298" s="2"/>
      <c r="Z298" s="2"/>
      <c r="AA298" s="2"/>
      <c r="AB298" s="2"/>
      <c r="AC298" s="2"/>
      <c r="AD298" s="2"/>
      <c r="AE298" s="2"/>
    </row>
    <row r="299" spans="16:33" ht="12" customHeight="1" x14ac:dyDescent="0.2">
      <c r="P299" s="2"/>
      <c r="Q299" s="179" t="s">
        <v>721</v>
      </c>
      <c r="R299" s="221" t="s">
        <v>89</v>
      </c>
      <c r="S299" s="221" t="s">
        <v>92</v>
      </c>
      <c r="T299" s="222">
        <v>3.5</v>
      </c>
      <c r="U299" s="206" t="s">
        <v>92</v>
      </c>
      <c r="V299" s="224">
        <v>0.09</v>
      </c>
      <c r="W299" s="2"/>
      <c r="X299" s="2"/>
      <c r="Y299" s="2"/>
      <c r="Z299" s="2"/>
      <c r="AA299" s="2"/>
      <c r="AB299" s="2"/>
      <c r="AC299" s="2"/>
      <c r="AD299" s="2"/>
      <c r="AE299" s="2"/>
    </row>
    <row r="300" spans="16:33" ht="12" customHeight="1" thickBot="1" x14ac:dyDescent="0.25">
      <c r="P300" s="2"/>
      <c r="Q300" s="176" t="s">
        <v>96</v>
      </c>
      <c r="R300" s="221" t="s">
        <v>89</v>
      </c>
      <c r="S300" s="221" t="s">
        <v>92</v>
      </c>
      <c r="T300" s="222">
        <v>2</v>
      </c>
      <c r="U300" s="206"/>
      <c r="V300" s="225"/>
      <c r="W300" s="2"/>
      <c r="X300" s="2"/>
      <c r="Y300" s="2"/>
      <c r="Z300" s="2"/>
      <c r="AA300" s="2"/>
      <c r="AB300" s="2"/>
      <c r="AC300" s="2"/>
      <c r="AD300" s="2"/>
      <c r="AE300" s="2"/>
    </row>
    <row r="301" spans="16:33" ht="12" customHeight="1" thickBot="1" x14ac:dyDescent="0.25">
      <c r="P301" s="2"/>
      <c r="Q301" s="948" t="s">
        <v>97</v>
      </c>
      <c r="R301" s="949"/>
      <c r="S301" s="949"/>
      <c r="T301" s="949"/>
      <c r="U301" s="949"/>
      <c r="V301" s="950"/>
      <c r="W301" s="2"/>
      <c r="X301" s="2"/>
      <c r="Y301" s="2"/>
      <c r="Z301" s="2"/>
      <c r="AA301" s="2"/>
      <c r="AB301" s="2"/>
      <c r="AC301" s="2"/>
    </row>
    <row r="302" spans="16:33" ht="12" customHeight="1" thickBot="1" x14ac:dyDescent="0.25">
      <c r="P302" s="2"/>
      <c r="Q302" s="2"/>
      <c r="R302" s="2"/>
      <c r="S302" s="2"/>
      <c r="T302" s="2"/>
      <c r="U302" s="2"/>
      <c r="V302" s="2"/>
      <c r="W302" s="2"/>
      <c r="X302" s="2"/>
      <c r="Y302" s="2"/>
      <c r="Z302" s="2"/>
      <c r="AA302" s="2"/>
      <c r="AB302" s="2"/>
      <c r="AC302" s="2"/>
    </row>
    <row r="303" spans="16:33" ht="12" customHeight="1" thickBot="1" x14ac:dyDescent="0.25">
      <c r="P303" s="2"/>
      <c r="Q303" s="945" t="s">
        <v>102</v>
      </c>
      <c r="R303" s="946"/>
      <c r="S303" s="946"/>
      <c r="T303" s="947"/>
      <c r="U303" s="2"/>
      <c r="V303" s="2"/>
      <c r="W303" s="2"/>
      <c r="X303" s="2"/>
      <c r="Y303" s="2"/>
      <c r="Z303" s="2"/>
      <c r="AA303" s="2"/>
      <c r="AB303" s="2"/>
      <c r="AC303" s="2"/>
    </row>
    <row r="304" spans="16:33" ht="12" customHeight="1" thickBot="1" x14ac:dyDescent="0.25">
      <c r="P304" s="2"/>
      <c r="Q304" s="201" t="s">
        <v>103</v>
      </c>
      <c r="R304" s="194" t="s">
        <v>719</v>
      </c>
      <c r="S304" s="174" t="s">
        <v>199</v>
      </c>
      <c r="T304" s="174" t="s">
        <v>179</v>
      </c>
      <c r="U304" s="2"/>
      <c r="V304" s="2"/>
      <c r="W304" s="2"/>
      <c r="X304" s="2"/>
      <c r="Y304" s="2"/>
      <c r="Z304" s="2"/>
      <c r="AA304" s="2"/>
      <c r="AB304" s="2"/>
      <c r="AC304" s="2"/>
    </row>
    <row r="305" spans="16:29" ht="12" customHeight="1" x14ac:dyDescent="0.2">
      <c r="P305" s="2"/>
      <c r="Q305" s="137" t="s">
        <v>458</v>
      </c>
      <c r="R305" s="203">
        <v>75</v>
      </c>
      <c r="S305" s="195">
        <v>140</v>
      </c>
      <c r="T305" s="226">
        <f>SUM(R305:S305)</f>
        <v>215</v>
      </c>
      <c r="U305" s="2"/>
      <c r="V305" s="2"/>
      <c r="W305" s="2"/>
      <c r="X305" s="2"/>
      <c r="Y305" s="2"/>
      <c r="Z305" s="2"/>
      <c r="AA305" s="2"/>
      <c r="AB305" s="2"/>
      <c r="AC305" s="2"/>
    </row>
    <row r="306" spans="16:29" ht="12" customHeight="1" x14ac:dyDescent="0.2">
      <c r="P306" s="2"/>
      <c r="Q306" s="140" t="s">
        <v>569</v>
      </c>
      <c r="R306" s="141">
        <v>75</v>
      </c>
      <c r="S306" s="197">
        <v>140</v>
      </c>
      <c r="T306" s="139">
        <f t="shared" ref="T306:T309" si="25">SUM(R306:S306)</f>
        <v>215</v>
      </c>
      <c r="U306" s="2"/>
      <c r="V306" s="2"/>
      <c r="W306" s="2"/>
      <c r="X306" s="2"/>
      <c r="Y306" s="2"/>
      <c r="Z306" s="2"/>
      <c r="AA306" s="2"/>
      <c r="AB306" s="2"/>
      <c r="AC306" s="2"/>
    </row>
    <row r="307" spans="16:29" ht="12" customHeight="1" x14ac:dyDescent="0.2">
      <c r="P307" s="2"/>
      <c r="Q307" s="140" t="s">
        <v>570</v>
      </c>
      <c r="R307" s="141">
        <v>75</v>
      </c>
      <c r="S307" s="197">
        <v>140</v>
      </c>
      <c r="T307" s="139">
        <f t="shared" si="25"/>
        <v>215</v>
      </c>
      <c r="U307" s="2"/>
      <c r="V307" s="2"/>
      <c r="W307" s="2"/>
      <c r="X307" s="2"/>
      <c r="Y307" s="2"/>
      <c r="Z307" s="2"/>
      <c r="AA307" s="2"/>
      <c r="AB307" s="2"/>
    </row>
    <row r="308" spans="16:29" ht="12" customHeight="1" x14ac:dyDescent="0.2">
      <c r="P308" s="2"/>
      <c r="Q308" s="140" t="s">
        <v>571</v>
      </c>
      <c r="R308" s="141">
        <v>75</v>
      </c>
      <c r="S308" s="197">
        <v>140</v>
      </c>
      <c r="T308" s="139">
        <f t="shared" si="25"/>
        <v>215</v>
      </c>
      <c r="U308" s="2"/>
      <c r="V308" s="2"/>
      <c r="W308" s="2"/>
      <c r="X308" s="2"/>
      <c r="Y308" s="2"/>
      <c r="Z308" s="2"/>
      <c r="AA308" s="2"/>
      <c r="AB308" s="2"/>
    </row>
    <row r="309" spans="16:29" ht="12" customHeight="1" thickBot="1" x14ac:dyDescent="0.25">
      <c r="P309" s="2"/>
      <c r="Q309" s="142" t="s">
        <v>575</v>
      </c>
      <c r="R309" s="141">
        <v>75</v>
      </c>
      <c r="S309" s="197">
        <v>280</v>
      </c>
      <c r="T309" s="139">
        <f t="shared" si="25"/>
        <v>355</v>
      </c>
      <c r="U309" s="2"/>
      <c r="V309" s="2"/>
      <c r="W309" s="2"/>
      <c r="X309" s="2"/>
      <c r="Y309" s="2"/>
      <c r="Z309" s="2"/>
      <c r="AA309" s="2"/>
      <c r="AB309" s="2"/>
    </row>
    <row r="310" spans="16:29" ht="12" customHeight="1" thickBot="1" x14ac:dyDescent="0.25">
      <c r="P310" s="2"/>
      <c r="Q310" s="948" t="s">
        <v>110</v>
      </c>
      <c r="R310" s="949"/>
      <c r="S310" s="949"/>
      <c r="T310" s="950"/>
      <c r="U310" s="2"/>
      <c r="V310" s="2"/>
      <c r="W310" s="2"/>
      <c r="X310" s="2"/>
      <c r="Y310" s="2"/>
      <c r="Z310" s="2"/>
      <c r="AA310" s="2"/>
      <c r="AB310" s="2"/>
    </row>
    <row r="311" spans="16:29" ht="12" customHeight="1" x14ac:dyDescent="0.2">
      <c r="P311" s="2"/>
      <c r="U311" s="2"/>
      <c r="V311" s="2"/>
      <c r="W311" s="2"/>
      <c r="X311" s="2"/>
      <c r="Y311" s="2"/>
      <c r="Z311" s="2"/>
      <c r="AA311" s="2"/>
      <c r="AB311" s="2"/>
    </row>
    <row r="312" spans="16:29" ht="12" customHeight="1" x14ac:dyDescent="0.2">
      <c r="P312" s="2"/>
      <c r="Q312" s="2"/>
      <c r="R312" s="2"/>
      <c r="S312" s="2"/>
      <c r="T312" s="2"/>
      <c r="U312" s="2"/>
      <c r="V312" s="2"/>
      <c r="W312" s="2"/>
    </row>
    <row r="313" spans="16:29" ht="12" customHeight="1" thickBot="1" x14ac:dyDescent="0.25">
      <c r="P313" s="2"/>
      <c r="Q313" s="2"/>
      <c r="R313" s="2"/>
      <c r="S313" s="2"/>
      <c r="T313" s="2"/>
      <c r="U313" s="2"/>
      <c r="V313" s="2"/>
      <c r="W313" s="2"/>
    </row>
    <row r="314" spans="16:29" ht="12" customHeight="1" x14ac:dyDescent="0.2">
      <c r="P314" s="887" t="s">
        <v>201</v>
      </c>
      <c r="Q314" s="888"/>
      <c r="R314" s="888"/>
      <c r="S314" s="888"/>
      <c r="T314" s="889"/>
      <c r="U314" s="2"/>
      <c r="V314" s="2"/>
      <c r="W314" s="2"/>
    </row>
    <row r="315" spans="16:29" ht="12" customHeight="1" thickBot="1" x14ac:dyDescent="0.25">
      <c r="P315" s="890"/>
      <c r="Q315" s="891"/>
      <c r="R315" s="891"/>
      <c r="S315" s="891"/>
      <c r="T315" s="892"/>
      <c r="U315" s="2"/>
      <c r="V315" s="2"/>
      <c r="W315" s="2"/>
      <c r="X315" s="2"/>
      <c r="Y315" s="2"/>
      <c r="Z315" s="2"/>
      <c r="AA315" s="18"/>
    </row>
    <row r="316" spans="16:29" ht="12" customHeight="1" x14ac:dyDescent="0.2">
      <c r="P316" s="310"/>
      <c r="Q316" s="96"/>
      <c r="R316" s="473" t="s">
        <v>33</v>
      </c>
      <c r="S316" s="474"/>
      <c r="T316" s="311"/>
      <c r="U316" s="2"/>
      <c r="V316" s="2"/>
      <c r="W316" s="2"/>
      <c r="X316" s="2"/>
      <c r="Y316" s="2"/>
      <c r="Z316" s="2"/>
      <c r="AA316" s="18"/>
    </row>
    <row r="317" spans="16:29" ht="12" customHeight="1" thickBot="1" x14ac:dyDescent="0.25">
      <c r="P317" s="312" t="s">
        <v>121</v>
      </c>
      <c r="Q317" s="99"/>
      <c r="R317" s="100" t="s">
        <v>122</v>
      </c>
      <c r="S317" s="100" t="s">
        <v>38</v>
      </c>
      <c r="T317" s="313" t="s">
        <v>123</v>
      </c>
      <c r="U317" s="2"/>
      <c r="V317" s="2"/>
      <c r="W317" s="2"/>
      <c r="X317" s="2"/>
      <c r="Y317" s="2"/>
      <c r="Z317" s="2"/>
      <c r="AA317" s="18"/>
    </row>
    <row r="318" spans="16:29" ht="12" customHeight="1" x14ac:dyDescent="0.2">
      <c r="P318" s="404" t="s">
        <v>723</v>
      </c>
      <c r="Q318" s="22" t="s">
        <v>203</v>
      </c>
      <c r="R318" s="106">
        <v>1</v>
      </c>
      <c r="S318" s="230">
        <f>IF($G$15&lt;=450,R325,(IF($G$15&lt;=800,R326,(IF($G$15&lt;=1200,R327,(IF($G$15&lt;=1600,R328,(IF($G$15&gt;1600,R329)))))))))</f>
        <v>800</v>
      </c>
      <c r="T318" s="315">
        <f>R318*S318</f>
        <v>800</v>
      </c>
      <c r="U318" s="214"/>
      <c r="V318" s="2"/>
      <c r="W318" s="2"/>
      <c r="X318" s="2"/>
      <c r="Y318" s="2"/>
      <c r="Z318" s="2"/>
    </row>
    <row r="319" spans="16:29" ht="12" customHeight="1" x14ac:dyDescent="0.2">
      <c r="P319" s="404" t="s">
        <v>724</v>
      </c>
      <c r="Q319" s="22" t="s">
        <v>112</v>
      </c>
      <c r="R319" s="106">
        <v>1</v>
      </c>
      <c r="S319" s="300">
        <f>IF($G$15&lt;=450,S325,(IF($G$15&lt;=800,S326,(IF($G$15&lt;=1200,S327,(IF($G$15&lt;=1600,S328,(IF($G$15&gt;1600,S329)))))))))</f>
        <v>400</v>
      </c>
      <c r="T319" s="316">
        <f>R319*S319</f>
        <v>400</v>
      </c>
      <c r="U319" s="2"/>
      <c r="V319" s="2"/>
      <c r="W319" s="2"/>
      <c r="X319" s="2"/>
      <c r="Y319" s="2"/>
      <c r="Z319" s="2"/>
      <c r="AA319" s="18"/>
    </row>
    <row r="320" spans="16:29" ht="12" customHeight="1" x14ac:dyDescent="0.2">
      <c r="P320" s="376"/>
      <c r="Q320" s="22"/>
      <c r="R320" s="80"/>
      <c r="S320" s="80"/>
      <c r="T320" s="318"/>
      <c r="U320" s="2"/>
      <c r="V320" s="2"/>
      <c r="W320" s="2"/>
      <c r="X320" s="2"/>
      <c r="Y320" s="2"/>
      <c r="Z320" s="2"/>
      <c r="AA320" s="18"/>
    </row>
    <row r="321" spans="16:27" ht="12" customHeight="1" thickBot="1" x14ac:dyDescent="0.25">
      <c r="P321" s="379" t="s">
        <v>204</v>
      </c>
      <c r="Q321" s="320"/>
      <c r="R321" s="321"/>
      <c r="S321" s="321"/>
      <c r="T321" s="322">
        <f>SUM(T318:T319)</f>
        <v>1200</v>
      </c>
      <c r="U321" s="2"/>
      <c r="V321" s="2"/>
      <c r="W321" s="2"/>
      <c r="X321" s="2"/>
      <c r="Y321" s="2"/>
      <c r="Z321" s="2"/>
      <c r="AA321" s="18"/>
    </row>
    <row r="322" spans="16:27" ht="12" customHeight="1" thickBot="1" x14ac:dyDescent="0.25">
      <c r="P322" s="18"/>
      <c r="Q322" s="32"/>
      <c r="R322" s="32"/>
      <c r="S322" s="32"/>
      <c r="T322" s="122"/>
      <c r="U322" s="122"/>
      <c r="V322" s="122"/>
      <c r="W322" s="122"/>
      <c r="X322" s="122"/>
      <c r="Y322" s="122"/>
      <c r="Z322" s="122"/>
      <c r="AA322" s="18"/>
    </row>
    <row r="323" spans="16:27" ht="12" customHeight="1" thickBot="1" x14ac:dyDescent="0.25">
      <c r="P323" s="18"/>
      <c r="Q323" s="945" t="s">
        <v>102</v>
      </c>
      <c r="R323" s="946"/>
      <c r="S323" s="946"/>
      <c r="T323" s="947"/>
      <c r="U323" s="122"/>
      <c r="V323" s="122"/>
      <c r="W323" s="122"/>
      <c r="X323" s="122"/>
      <c r="Y323" s="122"/>
      <c r="Z323" s="122"/>
      <c r="AA323" s="18"/>
    </row>
    <row r="324" spans="16:27" ht="12" customHeight="1" thickBot="1" x14ac:dyDescent="0.25">
      <c r="P324" s="60"/>
      <c r="Q324" s="173" t="s">
        <v>103</v>
      </c>
      <c r="R324" s="227" t="s">
        <v>205</v>
      </c>
      <c r="S324" s="227" t="s">
        <v>206</v>
      </c>
      <c r="T324" s="228" t="s">
        <v>179</v>
      </c>
      <c r="U324" s="122"/>
      <c r="V324" s="122"/>
      <c r="W324" s="122"/>
      <c r="X324" s="122"/>
      <c r="Y324" s="122"/>
      <c r="Z324" s="122"/>
      <c r="AA324" s="18"/>
    </row>
    <row r="325" spans="16:27" ht="12" customHeight="1" x14ac:dyDescent="0.2">
      <c r="P325" s="18"/>
      <c r="Q325" s="137" t="s">
        <v>458</v>
      </c>
      <c r="R325" s="197">
        <v>200</v>
      </c>
      <c r="S325" s="197">
        <v>100</v>
      </c>
      <c r="T325" s="139">
        <f>SUM(R325:S325)</f>
        <v>300</v>
      </c>
      <c r="U325" s="18"/>
      <c r="V325" s="18"/>
      <c r="W325" s="18"/>
      <c r="X325" s="18"/>
      <c r="Y325" s="18"/>
      <c r="Z325" s="18"/>
      <c r="AA325" s="18"/>
    </row>
    <row r="326" spans="16:27" ht="12" customHeight="1" x14ac:dyDescent="0.2">
      <c r="P326" s="117"/>
      <c r="Q326" s="140" t="s">
        <v>569</v>
      </c>
      <c r="R326" s="197">
        <v>400</v>
      </c>
      <c r="S326" s="197">
        <v>100</v>
      </c>
      <c r="T326" s="139">
        <f t="shared" ref="T326:T329" si="26">SUM(R326:S326)</f>
        <v>500</v>
      </c>
      <c r="U326" s="117"/>
      <c r="V326" s="117"/>
      <c r="W326" s="117"/>
      <c r="X326" s="117"/>
      <c r="Y326" s="117"/>
      <c r="Z326" s="117"/>
      <c r="AA326" s="117"/>
    </row>
    <row r="327" spans="16:27" ht="12" customHeight="1" x14ac:dyDescent="0.2">
      <c r="P327" s="117"/>
      <c r="Q327" s="140" t="s">
        <v>570</v>
      </c>
      <c r="R327" s="197">
        <v>400</v>
      </c>
      <c r="S327" s="197">
        <v>100</v>
      </c>
      <c r="T327" s="139">
        <f t="shared" si="26"/>
        <v>500</v>
      </c>
      <c r="U327" s="117"/>
      <c r="V327" s="117"/>
      <c r="W327" s="117"/>
      <c r="X327" s="117"/>
      <c r="Y327" s="117"/>
      <c r="Z327" s="117"/>
      <c r="AA327" s="117"/>
    </row>
    <row r="328" spans="16:27" ht="12" customHeight="1" x14ac:dyDescent="0.2">
      <c r="P328" s="117"/>
      <c r="Q328" s="140" t="s">
        <v>571</v>
      </c>
      <c r="R328" s="197">
        <v>400</v>
      </c>
      <c r="S328" s="197">
        <v>100</v>
      </c>
      <c r="T328" s="139">
        <f t="shared" si="26"/>
        <v>500</v>
      </c>
      <c r="U328" s="117"/>
      <c r="V328" s="117"/>
      <c r="W328" s="117"/>
      <c r="X328" s="117"/>
      <c r="Y328" s="117"/>
      <c r="Z328" s="117"/>
      <c r="AA328" s="117"/>
    </row>
    <row r="329" spans="16:27" ht="12" customHeight="1" thickBot="1" x14ac:dyDescent="0.25">
      <c r="P329" s="117"/>
      <c r="Q329" s="142" t="s">
        <v>575</v>
      </c>
      <c r="R329" s="197">
        <v>800</v>
      </c>
      <c r="S329" s="197">
        <v>400</v>
      </c>
      <c r="T329" s="139">
        <f t="shared" si="26"/>
        <v>1200</v>
      </c>
      <c r="U329" s="117"/>
      <c r="V329" s="117"/>
      <c r="W329" s="117"/>
      <c r="X329" s="117"/>
      <c r="Y329" s="117"/>
      <c r="Z329" s="117"/>
      <c r="AA329" s="117"/>
    </row>
    <row r="330" spans="16:27" ht="12" customHeight="1" thickBot="1" x14ac:dyDescent="0.25">
      <c r="P330" s="117"/>
      <c r="Q330" s="948" t="s">
        <v>110</v>
      </c>
      <c r="R330" s="949"/>
      <c r="S330" s="949"/>
      <c r="T330" s="950"/>
      <c r="U330" s="122"/>
      <c r="V330" s="122"/>
      <c r="W330" s="122"/>
      <c r="X330" s="122"/>
      <c r="Y330" s="122"/>
      <c r="Z330" s="122"/>
      <c r="AA330" s="117"/>
    </row>
    <row r="331" spans="16:27" ht="12" customHeight="1" x14ac:dyDescent="0.2">
      <c r="P331" s="117"/>
      <c r="U331" s="122"/>
      <c r="V331" s="122"/>
      <c r="W331" s="122"/>
      <c r="X331" s="122"/>
      <c r="Y331" s="122"/>
      <c r="Z331" s="122"/>
      <c r="AA331" s="117"/>
    </row>
    <row r="332" spans="16:27" ht="12" customHeight="1" x14ac:dyDescent="0.2">
      <c r="P332" s="117"/>
      <c r="T332" s="122"/>
      <c r="U332" s="122"/>
      <c r="V332" s="122"/>
      <c r="W332" s="122"/>
      <c r="X332" s="122"/>
      <c r="Y332" s="122"/>
      <c r="Z332" s="122"/>
      <c r="AA332" s="117"/>
    </row>
    <row r="333" spans="16:27" ht="12" customHeight="1" thickBot="1" x14ac:dyDescent="0.25"/>
    <row r="334" spans="16:27" ht="12" customHeight="1" x14ac:dyDescent="0.2">
      <c r="P334" s="887" t="s">
        <v>207</v>
      </c>
      <c r="Q334" s="888"/>
      <c r="R334" s="888"/>
      <c r="S334" s="888"/>
      <c r="T334" s="889"/>
    </row>
    <row r="335" spans="16:27" ht="12" customHeight="1" thickBot="1" x14ac:dyDescent="0.25">
      <c r="P335" s="890"/>
      <c r="Q335" s="891"/>
      <c r="R335" s="891"/>
      <c r="S335" s="891"/>
      <c r="T335" s="892"/>
      <c r="U335" s="18"/>
      <c r="AA335" s="18"/>
    </row>
    <row r="336" spans="16:27" ht="12" customHeight="1" x14ac:dyDescent="0.2">
      <c r="P336" s="310"/>
      <c r="Q336" s="96"/>
      <c r="R336" s="473" t="s">
        <v>33</v>
      </c>
      <c r="S336" s="474"/>
      <c r="T336" s="311"/>
      <c r="U336" s="18"/>
      <c r="AA336" s="18"/>
    </row>
    <row r="337" spans="16:27" ht="12" customHeight="1" thickBot="1" x14ac:dyDescent="0.25">
      <c r="P337" s="312" t="s">
        <v>121</v>
      </c>
      <c r="Q337" s="99"/>
      <c r="R337" s="100" t="s">
        <v>122</v>
      </c>
      <c r="S337" s="100" t="s">
        <v>38</v>
      </c>
      <c r="T337" s="313" t="s">
        <v>123</v>
      </c>
      <c r="U337" s="18"/>
      <c r="AA337" s="18"/>
    </row>
    <row r="338" spans="16:27" ht="12" customHeight="1" x14ac:dyDescent="0.2">
      <c r="P338" s="404" t="s">
        <v>725</v>
      </c>
      <c r="Q338" s="22" t="s">
        <v>116</v>
      </c>
      <c r="R338" s="229" t="s">
        <v>40</v>
      </c>
      <c r="S338" s="230" t="e">
        <f>SUM($T$24+$T$55+$T$91+$T$127+$T$164+$T$198+$T$226+$T$252+$T$291+$T$321+$T$408+$T$388+$T$428)*0.035</f>
        <v>#REF!</v>
      </c>
      <c r="T338" s="372" t="e">
        <f>1*S338</f>
        <v>#REF!</v>
      </c>
      <c r="U338" s="218" t="s">
        <v>209</v>
      </c>
      <c r="AA338" s="218"/>
    </row>
    <row r="339" spans="16:27" ht="12" customHeight="1" x14ac:dyDescent="0.2">
      <c r="P339" s="404" t="s">
        <v>726</v>
      </c>
      <c r="Q339" s="22" t="s">
        <v>211</v>
      </c>
      <c r="R339" s="106">
        <v>1</v>
      </c>
      <c r="S339" s="80">
        <f>IF($G$15&lt;=450,R368,(IF($G$15&lt;=800,R369,(IF($G$15&lt;=1200,R370,(IF($G$15&lt;=1600,R371,(IF($G$15&gt;1600,R372)))))))))</f>
        <v>300</v>
      </c>
      <c r="T339" s="315">
        <f>R339*S339</f>
        <v>300</v>
      </c>
      <c r="U339" s="218"/>
      <c r="AA339" s="218"/>
    </row>
    <row r="340" spans="16:27" ht="12" customHeight="1" x14ac:dyDescent="0.2">
      <c r="P340" s="404" t="s">
        <v>727</v>
      </c>
      <c r="Q340" s="22" t="s">
        <v>213</v>
      </c>
      <c r="R340" s="106">
        <v>1</v>
      </c>
      <c r="S340" s="80">
        <f>IF($G$15&lt;=450,S368,(IF($G$15&lt;=800,S369,(IF($G$15&lt;=1200,S370,(IF($G$15&lt;=1600,S371,(IF($G$15&gt;1600,S372)))))))))</f>
        <v>300</v>
      </c>
      <c r="T340" s="315">
        <f>R340*S340</f>
        <v>300</v>
      </c>
      <c r="U340" s="218"/>
      <c r="AA340" s="218"/>
    </row>
    <row r="341" spans="16:27" ht="12" customHeight="1" x14ac:dyDescent="0.2">
      <c r="P341" s="404" t="s">
        <v>728</v>
      </c>
      <c r="Q341" s="22" t="s">
        <v>215</v>
      </c>
      <c r="R341" s="106">
        <v>1</v>
      </c>
      <c r="S341" s="80">
        <f>IF($G$15&lt;=450,T368,(IF($G$15&lt;=800,T369,(IF($G$15&lt;=1200,T370,(IF($G$15&lt;=1600,T371,(IF($G$15&gt;1600,T372)))))))))</f>
        <v>320</v>
      </c>
      <c r="T341" s="315">
        <f>R341*S341</f>
        <v>320</v>
      </c>
      <c r="U341" s="218" t="s">
        <v>41</v>
      </c>
      <c r="AA341" s="218"/>
    </row>
    <row r="342" spans="16:27" ht="12" customHeight="1" x14ac:dyDescent="0.2">
      <c r="P342" s="404" t="s">
        <v>729</v>
      </c>
      <c r="Q342" s="22" t="s">
        <v>117</v>
      </c>
      <c r="R342" s="229" t="s">
        <v>40</v>
      </c>
      <c r="S342" s="230" t="e">
        <f>SUM($T$24+$T$55+$T$91+$T$127+$T$164+$T$198+$T$226+$T$252+$T$291+$T$321+$T$408+$T$388+$T$428)*0.2</f>
        <v>#REF!</v>
      </c>
      <c r="T342" s="372" t="e">
        <f>1*S342</f>
        <v>#REF!</v>
      </c>
      <c r="U342" s="218" t="s">
        <v>209</v>
      </c>
      <c r="AA342" s="218"/>
    </row>
    <row r="343" spans="16:27" ht="12" customHeight="1" x14ac:dyDescent="0.2">
      <c r="P343" s="404"/>
      <c r="Q343" s="22" t="s">
        <v>217</v>
      </c>
      <c r="R343" s="233" t="s">
        <v>40</v>
      </c>
      <c r="S343" s="234"/>
      <c r="T343" s="315">
        <f>S343</f>
        <v>0</v>
      </c>
      <c r="U343" s="218" t="s">
        <v>36</v>
      </c>
      <c r="AA343" s="218"/>
    </row>
    <row r="344" spans="16:27" ht="12" customHeight="1" x14ac:dyDescent="0.2">
      <c r="P344" s="404" t="s">
        <v>730</v>
      </c>
      <c r="Q344" s="22" t="s">
        <v>118</v>
      </c>
      <c r="R344" s="229" t="s">
        <v>40</v>
      </c>
      <c r="S344" s="230" t="e">
        <f>SUM($T$24+$T$55+$T$91+$T$127+$T$164+$T$198+$T$226+$T$252+$T$291+$T$321+$T$408+$T$388+$T$428)*0.069</f>
        <v>#REF!</v>
      </c>
      <c r="T344" s="372" t="e">
        <f>S344</f>
        <v>#REF!</v>
      </c>
      <c r="U344" s="218" t="s">
        <v>209</v>
      </c>
      <c r="AA344" s="218"/>
    </row>
    <row r="345" spans="16:27" ht="12" customHeight="1" x14ac:dyDescent="0.2">
      <c r="P345" s="404" t="s">
        <v>731</v>
      </c>
      <c r="Q345" s="22" t="s">
        <v>732</v>
      </c>
      <c r="R345" s="106">
        <v>1</v>
      </c>
      <c r="S345" s="80">
        <f>IF($G$15&lt;=450,V368,(IF($G$15&lt;=800,V369,(IF($G$15&lt;=1200,V370,(IF($G$15&lt;=1600,V371,(IF($G$15&gt;1600,V372)))))))))</f>
        <v>500</v>
      </c>
      <c r="T345" s="315">
        <f>R345*S345</f>
        <v>500</v>
      </c>
      <c r="U345" s="218" t="s">
        <v>221</v>
      </c>
      <c r="AA345" s="218"/>
    </row>
    <row r="346" spans="16:27" ht="12" customHeight="1" x14ac:dyDescent="0.2">
      <c r="P346" s="404" t="s">
        <v>733</v>
      </c>
      <c r="Q346" s="22" t="s">
        <v>223</v>
      </c>
      <c r="R346" s="106">
        <v>1</v>
      </c>
      <c r="S346" s="80">
        <f>IF($G$15&lt;=450,W368,(IF($G$15&lt;=800,W369,(IF($G$15&lt;=1200,W370,(IF($G$15&lt;=1600,W371,(IF($G$15&gt;1600,W372)))))))))</f>
        <v>590</v>
      </c>
      <c r="T346" s="315">
        <f>R346*S346</f>
        <v>590</v>
      </c>
      <c r="U346" s="218" t="s">
        <v>221</v>
      </c>
      <c r="AA346" s="218"/>
    </row>
    <row r="347" spans="16:27" ht="12" customHeight="1" x14ac:dyDescent="0.2">
      <c r="P347" s="404" t="s">
        <v>734</v>
      </c>
      <c r="Q347" s="22" t="s">
        <v>225</v>
      </c>
      <c r="R347" s="106">
        <v>1</v>
      </c>
      <c r="S347" s="80">
        <f>IF($G$15&lt;=450,X368,(IF($G$15&lt;=800,X369,(IF($G$15&lt;=1200,X370,(IF($G$15&lt;=1600,X371,(IF($G$15&gt;1600,X372)))))))))</f>
        <v>400</v>
      </c>
      <c r="T347" s="315">
        <f>R347*S347</f>
        <v>400</v>
      </c>
      <c r="U347" s="218"/>
      <c r="AA347" s="218"/>
    </row>
    <row r="348" spans="16:27" ht="12" customHeight="1" x14ac:dyDescent="0.2">
      <c r="P348" s="404" t="s">
        <v>735</v>
      </c>
      <c r="Q348" s="22" t="s">
        <v>143</v>
      </c>
      <c r="R348" s="106">
        <v>1</v>
      </c>
      <c r="S348" s="80">
        <f>IF($G$15&lt;=450,Y368,(IF($G$15&lt;=800,Y369,(IF($G$15&lt;=1200,Y370,(IF($G$15&lt;=1600,Y371,(IF($G$15&gt;1600,Y372)))))))))</f>
        <v>0</v>
      </c>
      <c r="T348" s="315">
        <f>R348*S348</f>
        <v>0</v>
      </c>
      <c r="U348" s="18"/>
      <c r="AA348" s="18"/>
    </row>
    <row r="349" spans="16:27" ht="12" customHeight="1" x14ac:dyDescent="0.2">
      <c r="P349" s="437" t="s">
        <v>736</v>
      </c>
      <c r="Q349" s="109" t="s">
        <v>737</v>
      </c>
      <c r="R349" s="106">
        <v>1</v>
      </c>
      <c r="S349" s="147">
        <f>IF($G$15&lt;=450,Z368,(IF($G$15&lt;=800,Z369,(IF($G$15&lt;=1200,Z370,(IF($G$15&lt;=1600,Z371,(IF($G$15&gt;1600,Z372)))))))))</f>
        <v>210</v>
      </c>
      <c r="T349" s="316">
        <f>R349*S349</f>
        <v>210</v>
      </c>
      <c r="U349" s="237" t="s">
        <v>221</v>
      </c>
      <c r="AA349" s="237"/>
    </row>
    <row r="350" spans="16:27" ht="12" customHeight="1" x14ac:dyDescent="0.2">
      <c r="P350" s="376"/>
      <c r="Q350" s="22"/>
      <c r="R350" s="80"/>
      <c r="S350" s="80"/>
      <c r="T350" s="318"/>
      <c r="AA350" s="18"/>
    </row>
    <row r="351" spans="16:27" ht="12" customHeight="1" thickBot="1" x14ac:dyDescent="0.25">
      <c r="P351" s="319" t="s">
        <v>229</v>
      </c>
      <c r="Q351" s="438"/>
      <c r="R351" s="321"/>
      <c r="S351" s="321"/>
      <c r="T351" s="322" t="e">
        <f>SUM(T338:T349)</f>
        <v>#REF!</v>
      </c>
      <c r="AA351" s="18"/>
    </row>
    <row r="352" spans="16:27" ht="12" customHeight="1" thickBot="1" x14ac:dyDescent="0.25"/>
    <row r="353" spans="16:27" ht="12" customHeight="1" thickBot="1" x14ac:dyDescent="0.25">
      <c r="P353" s="945" t="s">
        <v>230</v>
      </c>
      <c r="Q353" s="946"/>
      <c r="R353" s="946"/>
      <c r="S353" s="946"/>
      <c r="T353" s="946"/>
      <c r="U353" s="946"/>
      <c r="V353" s="946"/>
      <c r="W353" s="946"/>
      <c r="X353" s="947"/>
    </row>
    <row r="354" spans="16:27" ht="12" customHeight="1" thickBot="1" x14ac:dyDescent="0.25">
      <c r="P354" s="149" t="s">
        <v>23</v>
      </c>
      <c r="Q354" s="150" t="s">
        <v>24</v>
      </c>
      <c r="R354" s="151"/>
      <c r="S354" s="151"/>
      <c r="T354" s="151"/>
      <c r="U354" s="151"/>
      <c r="V354" s="151"/>
      <c r="W354" s="238"/>
      <c r="X354" s="239"/>
    </row>
    <row r="355" spans="16:27" ht="12" customHeight="1" x14ac:dyDescent="0.2">
      <c r="P355" s="68">
        <v>1</v>
      </c>
      <c r="Q355" s="153" t="s">
        <v>231</v>
      </c>
      <c r="R355" s="154"/>
      <c r="S355" s="154"/>
      <c r="T355" s="154"/>
      <c r="U355" s="154"/>
      <c r="V355" s="154"/>
      <c r="W355" s="161"/>
      <c r="X355" s="162"/>
    </row>
    <row r="356" spans="16:27" ht="12" customHeight="1" x14ac:dyDescent="0.2">
      <c r="P356" s="68">
        <v>2</v>
      </c>
      <c r="Q356" s="214" t="s">
        <v>232</v>
      </c>
      <c r="R356" s="157"/>
      <c r="S356" s="157"/>
      <c r="T356" s="157"/>
      <c r="U356" s="157"/>
      <c r="V356" s="157"/>
      <c r="W356" s="161"/>
      <c r="X356" s="162"/>
    </row>
    <row r="357" spans="16:27" ht="12" customHeight="1" thickBot="1" x14ac:dyDescent="0.25">
      <c r="P357" s="71"/>
      <c r="Q357" s="164" t="s">
        <v>233</v>
      </c>
      <c r="R357" s="170"/>
      <c r="S357" s="170"/>
      <c r="T357" s="170"/>
      <c r="U357" s="170"/>
      <c r="V357" s="170"/>
      <c r="W357" s="165"/>
      <c r="X357" s="166"/>
    </row>
    <row r="358" spans="16:27" ht="12" customHeight="1" thickBot="1" x14ac:dyDescent="0.25"/>
    <row r="359" spans="16:27" ht="12" customHeight="1" thickBot="1" x14ac:dyDescent="0.25">
      <c r="Q359" s="945" t="s">
        <v>113</v>
      </c>
      <c r="R359" s="946"/>
      <c r="S359" s="946"/>
      <c r="T359" s="947"/>
    </row>
    <row r="360" spans="16:27" ht="12" customHeight="1" thickBot="1" x14ac:dyDescent="0.25">
      <c r="Q360" s="173" t="s">
        <v>114</v>
      </c>
      <c r="R360" s="194" t="s">
        <v>115</v>
      </c>
      <c r="S360" s="194" t="s">
        <v>90</v>
      </c>
      <c r="T360" s="174" t="s">
        <v>93</v>
      </c>
    </row>
    <row r="361" spans="16:27" ht="12" customHeight="1" x14ac:dyDescent="0.2">
      <c r="Q361" s="176" t="s">
        <v>116</v>
      </c>
      <c r="R361" s="240" t="s">
        <v>115</v>
      </c>
      <c r="S361" s="221" t="s">
        <v>92</v>
      </c>
      <c r="T361" s="241">
        <v>3.5</v>
      </c>
    </row>
    <row r="362" spans="16:27" ht="12" customHeight="1" x14ac:dyDescent="0.2">
      <c r="Q362" s="179" t="s">
        <v>117</v>
      </c>
      <c r="R362" s="242" t="s">
        <v>115</v>
      </c>
      <c r="S362" s="221" t="s">
        <v>92</v>
      </c>
      <c r="T362" s="241">
        <v>20</v>
      </c>
    </row>
    <row r="363" spans="16:27" ht="12" customHeight="1" thickBot="1" x14ac:dyDescent="0.25">
      <c r="Q363" s="179" t="s">
        <v>118</v>
      </c>
      <c r="R363" s="206" t="s">
        <v>115</v>
      </c>
      <c r="S363" s="221" t="s">
        <v>92</v>
      </c>
      <c r="T363" s="241">
        <v>6.9</v>
      </c>
    </row>
    <row r="364" spans="16:27" ht="12" customHeight="1" thickBot="1" x14ac:dyDescent="0.25">
      <c r="Q364" s="948" t="s">
        <v>119</v>
      </c>
      <c r="R364" s="949"/>
      <c r="S364" s="949"/>
      <c r="T364" s="950"/>
    </row>
    <row r="365" spans="16:27" ht="12" customHeight="1" thickBot="1" x14ac:dyDescent="0.25"/>
    <row r="366" spans="16:27" ht="12" customHeight="1" thickBot="1" x14ac:dyDescent="0.25">
      <c r="Q366" s="945" t="s">
        <v>102</v>
      </c>
      <c r="R366" s="946"/>
      <c r="S366" s="946"/>
      <c r="T366" s="946"/>
      <c r="U366" s="946"/>
      <c r="V366" s="946"/>
      <c r="W366" s="946"/>
      <c r="X366" s="946"/>
      <c r="Y366" s="946"/>
      <c r="Z366" s="946"/>
      <c r="AA366" s="947"/>
    </row>
    <row r="367" spans="16:27" ht="12" customHeight="1" thickBot="1" x14ac:dyDescent="0.25">
      <c r="Q367" s="173" t="s">
        <v>103</v>
      </c>
      <c r="R367" s="205" t="s">
        <v>235</v>
      </c>
      <c r="S367" s="205" t="s">
        <v>236</v>
      </c>
      <c r="T367" s="174" t="s">
        <v>237</v>
      </c>
      <c r="U367" s="174" t="s">
        <v>238</v>
      </c>
      <c r="V367" s="174" t="s">
        <v>239</v>
      </c>
      <c r="W367" s="174" t="s">
        <v>240</v>
      </c>
      <c r="X367" s="174" t="s">
        <v>241</v>
      </c>
      <c r="Y367" s="174" t="s">
        <v>242</v>
      </c>
      <c r="Z367" s="174" t="s">
        <v>234</v>
      </c>
      <c r="AA367" s="174"/>
    </row>
    <row r="368" spans="16:27" ht="12" customHeight="1" thickBot="1" x14ac:dyDescent="0.25">
      <c r="Q368" s="137" t="s">
        <v>458</v>
      </c>
      <c r="R368" s="138">
        <v>100</v>
      </c>
      <c r="S368" s="138">
        <v>100</v>
      </c>
      <c r="T368" s="138">
        <v>128</v>
      </c>
      <c r="U368" s="244">
        <v>0</v>
      </c>
      <c r="V368" s="138">
        <v>150</v>
      </c>
      <c r="W368" s="138">
        <v>170</v>
      </c>
      <c r="X368" s="138">
        <v>120</v>
      </c>
      <c r="Y368" s="138">
        <v>0</v>
      </c>
      <c r="Z368" s="138">
        <v>80</v>
      </c>
      <c r="AA368" s="226"/>
    </row>
    <row r="369" spans="16:27" ht="12" customHeight="1" thickBot="1" x14ac:dyDescent="0.25">
      <c r="Q369" s="140" t="s">
        <v>569</v>
      </c>
      <c r="R369" s="141">
        <v>150</v>
      </c>
      <c r="S369" s="141">
        <v>150</v>
      </c>
      <c r="T369" s="141">
        <v>192</v>
      </c>
      <c r="U369" s="246">
        <v>0</v>
      </c>
      <c r="V369" s="141">
        <v>200</v>
      </c>
      <c r="W369" s="141">
        <v>200</v>
      </c>
      <c r="X369" s="141">
        <v>120</v>
      </c>
      <c r="Y369" s="141">
        <v>0</v>
      </c>
      <c r="Z369" s="141">
        <v>100</v>
      </c>
      <c r="AA369" s="226"/>
    </row>
    <row r="370" spans="16:27" ht="12" customHeight="1" thickBot="1" x14ac:dyDescent="0.25">
      <c r="Q370" s="140" t="s">
        <v>570</v>
      </c>
      <c r="R370" s="141">
        <v>200</v>
      </c>
      <c r="S370" s="141">
        <v>200</v>
      </c>
      <c r="T370" s="141">
        <v>256</v>
      </c>
      <c r="U370" s="246">
        <v>0</v>
      </c>
      <c r="V370" s="141">
        <v>250</v>
      </c>
      <c r="W370" s="141">
        <v>220</v>
      </c>
      <c r="X370" s="141">
        <v>120</v>
      </c>
      <c r="Y370" s="141">
        <v>0</v>
      </c>
      <c r="Z370" s="141">
        <v>130</v>
      </c>
      <c r="AA370" s="226"/>
    </row>
    <row r="371" spans="16:27" ht="12" customHeight="1" thickBot="1" x14ac:dyDescent="0.25">
      <c r="Q371" s="140" t="s">
        <v>571</v>
      </c>
      <c r="R371" s="141">
        <v>250</v>
      </c>
      <c r="S371" s="141">
        <v>250</v>
      </c>
      <c r="T371" s="141">
        <v>320</v>
      </c>
      <c r="U371" s="246">
        <v>0</v>
      </c>
      <c r="V371" s="141">
        <v>250</v>
      </c>
      <c r="W371" s="141">
        <v>240</v>
      </c>
      <c r="X371" s="141">
        <v>120</v>
      </c>
      <c r="Y371" s="141">
        <v>0</v>
      </c>
      <c r="Z371" s="141">
        <v>160</v>
      </c>
      <c r="AA371" s="226"/>
    </row>
    <row r="372" spans="16:27" ht="12" customHeight="1" thickBot="1" x14ac:dyDescent="0.25">
      <c r="Q372" s="142" t="s">
        <v>575</v>
      </c>
      <c r="R372" s="141">
        <v>300</v>
      </c>
      <c r="S372" s="141">
        <v>300</v>
      </c>
      <c r="T372" s="141">
        <v>320</v>
      </c>
      <c r="U372" s="246">
        <v>0</v>
      </c>
      <c r="V372" s="141">
        <v>500</v>
      </c>
      <c r="W372" s="141">
        <v>590</v>
      </c>
      <c r="X372" s="141">
        <v>400</v>
      </c>
      <c r="Y372" s="141">
        <v>0</v>
      </c>
      <c r="Z372" s="141">
        <v>210</v>
      </c>
      <c r="AA372" s="226"/>
    </row>
    <row r="373" spans="16:27" ht="12" customHeight="1" thickBot="1" x14ac:dyDescent="0.25">
      <c r="Q373" s="948" t="s">
        <v>110</v>
      </c>
      <c r="R373" s="949"/>
      <c r="S373" s="949"/>
      <c r="T373" s="949"/>
      <c r="U373" s="949"/>
      <c r="V373" s="949"/>
      <c r="W373" s="949"/>
      <c r="X373" s="949"/>
      <c r="Y373" s="949"/>
      <c r="Z373" s="949"/>
      <c r="AA373" s="950"/>
    </row>
    <row r="374" spans="16:27" ht="12" customHeight="1" x14ac:dyDescent="0.2"/>
    <row r="375" spans="16:27" ht="12" customHeight="1" x14ac:dyDescent="0.2"/>
    <row r="376" spans="16:27" ht="12" customHeight="1" thickBot="1" x14ac:dyDescent="0.25"/>
    <row r="377" spans="16:27" ht="12" customHeight="1" x14ac:dyDescent="0.2">
      <c r="P377" s="887" t="s">
        <v>499</v>
      </c>
      <c r="Q377" s="888"/>
      <c r="R377" s="888"/>
      <c r="S377" s="888"/>
      <c r="T377" s="889"/>
    </row>
    <row r="378" spans="16:27" ht="12" customHeight="1" thickBot="1" x14ac:dyDescent="0.25">
      <c r="P378" s="890"/>
      <c r="Q378" s="891"/>
      <c r="R378" s="891"/>
      <c r="S378" s="891"/>
      <c r="T378" s="892"/>
    </row>
    <row r="379" spans="16:27" ht="12" customHeight="1" x14ac:dyDescent="0.2">
      <c r="P379" s="310"/>
      <c r="Q379" s="96"/>
      <c r="R379" s="473" t="s">
        <v>33</v>
      </c>
      <c r="S379" s="474"/>
      <c r="T379" s="311"/>
    </row>
    <row r="380" spans="16:27" ht="12" customHeight="1" thickBot="1" x14ac:dyDescent="0.25">
      <c r="P380" s="312" t="s">
        <v>121</v>
      </c>
      <c r="Q380" s="99"/>
      <c r="R380" s="357" t="s">
        <v>122</v>
      </c>
      <c r="S380" s="358" t="s">
        <v>38</v>
      </c>
      <c r="T380" s="359" t="s">
        <v>123</v>
      </c>
    </row>
    <row r="381" spans="16:27" ht="12" customHeight="1" x14ac:dyDescent="0.2">
      <c r="P381" s="404" t="s">
        <v>649</v>
      </c>
      <c r="Q381" s="416" t="s">
        <v>650</v>
      </c>
      <c r="R381" s="354">
        <v>1</v>
      </c>
      <c r="S381" s="230">
        <f>IF($G$15&lt;=450,R392,(IF($G$15&lt;=800,R393,(IF($G$15&lt;=1200,R394,(IF($G$15&lt;=1600,R395,(IF($G$15&gt;1600,R396)))))))))</f>
        <v>5400</v>
      </c>
      <c r="T381" s="315">
        <f>R381*S381</f>
        <v>5400</v>
      </c>
    </row>
    <row r="382" spans="16:27" ht="12" customHeight="1" x14ac:dyDescent="0.2">
      <c r="P382" s="404"/>
      <c r="Q382" s="416" t="s">
        <v>651</v>
      </c>
      <c r="R382" s="353"/>
      <c r="S382" s="230"/>
      <c r="T382" s="315"/>
    </row>
    <row r="383" spans="16:27" ht="12" customHeight="1" x14ac:dyDescent="0.2">
      <c r="P383" s="404" t="s">
        <v>652</v>
      </c>
      <c r="Q383" s="416" t="s">
        <v>653</v>
      </c>
      <c r="R383" s="354">
        <v>1</v>
      </c>
      <c r="S383" s="230">
        <f>IF($G$15&lt;=450,S392,(IF($G$15&lt;=800,S393,(IF($G$15&lt;=1200,S394,(IF($G$15&lt;=1600,S395,(IF($G$15&gt;1600,S396)))))))))</f>
        <v>1800</v>
      </c>
      <c r="T383" s="315">
        <f t="shared" ref="T383:T386" si="27">R383*S383</f>
        <v>1800</v>
      </c>
    </row>
    <row r="384" spans="16:27" ht="12" customHeight="1" x14ac:dyDescent="0.2">
      <c r="P384" s="404" t="s">
        <v>654</v>
      </c>
      <c r="Q384" s="416" t="s">
        <v>655</v>
      </c>
      <c r="R384" s="354">
        <v>1</v>
      </c>
      <c r="S384" s="230">
        <f>IF($G$15&lt;=450,T392,(IF($G$15&lt;=800,T393,(IF($G$15&lt;=1200,T394,(IF($G$15&lt;=1600,T395,(IF($G$15&gt;1600,T396)))))))))</f>
        <v>1000</v>
      </c>
      <c r="T384" s="315">
        <f t="shared" si="27"/>
        <v>1000</v>
      </c>
    </row>
    <row r="385" spans="16:23" ht="12" customHeight="1" x14ac:dyDescent="0.2">
      <c r="P385" s="404" t="s">
        <v>656</v>
      </c>
      <c r="Q385" s="49" t="s">
        <v>657</v>
      </c>
      <c r="R385" s="354">
        <v>1</v>
      </c>
      <c r="S385" s="230">
        <f>IF($G$15&lt;=450,U392,(IF($G$15&lt;=800,U393,(IF($G$15&lt;=1200,U394,(IF($G$15&lt;=1600,U395,(IF($G$15&gt;1600,U396)))))))))</f>
        <v>2400</v>
      </c>
      <c r="T385" s="315">
        <f t="shared" si="27"/>
        <v>2400</v>
      </c>
    </row>
    <row r="386" spans="16:23" ht="12" customHeight="1" x14ac:dyDescent="0.2">
      <c r="P386" s="404" t="s">
        <v>658</v>
      </c>
      <c r="Q386" s="49" t="s">
        <v>659</v>
      </c>
      <c r="R386" s="354">
        <v>1</v>
      </c>
      <c r="S386" s="300">
        <f>IF($G$15&lt;=450,V392,(IF($G$15&lt;=800,V393,(IF($G$15&lt;=1200,V394,(IF($G$15&lt;=1600,V395,(IF($G$15&gt;1600,V396)))))))))</f>
        <v>3200</v>
      </c>
      <c r="T386" s="349">
        <f t="shared" si="27"/>
        <v>3200</v>
      </c>
    </row>
    <row r="387" spans="16:23" ht="12" customHeight="1" x14ac:dyDescent="0.2">
      <c r="P387" s="342"/>
      <c r="Q387" s="12"/>
      <c r="R387" s="355"/>
      <c r="S387" s="12"/>
      <c r="T387" s="343"/>
    </row>
    <row r="388" spans="16:23" ht="12" customHeight="1" thickBot="1" x14ac:dyDescent="0.25">
      <c r="P388" s="319" t="s">
        <v>660</v>
      </c>
      <c r="Q388" s="347"/>
      <c r="R388" s="356"/>
      <c r="S388" s="321"/>
      <c r="T388" s="322">
        <f>SUM(T381:T386)</f>
        <v>13800</v>
      </c>
    </row>
    <row r="389" spans="16:23" ht="12" customHeight="1" thickBot="1" x14ac:dyDescent="0.25"/>
    <row r="390" spans="16:23" ht="12" customHeight="1" thickBot="1" x14ac:dyDescent="0.25">
      <c r="Q390" s="987" t="s">
        <v>102</v>
      </c>
      <c r="R390" s="988"/>
      <c r="S390" s="988"/>
      <c r="T390" s="988"/>
      <c r="U390" s="988"/>
      <c r="V390" s="988"/>
      <c r="W390" s="989"/>
    </row>
    <row r="391" spans="16:23" ht="12" customHeight="1" thickBot="1" x14ac:dyDescent="0.25">
      <c r="Q391" s="134" t="s">
        <v>103</v>
      </c>
      <c r="R391" s="135" t="s">
        <v>649</v>
      </c>
      <c r="S391" s="135" t="s">
        <v>661</v>
      </c>
      <c r="T391" s="135" t="s">
        <v>654</v>
      </c>
      <c r="U391" s="135" t="s">
        <v>656</v>
      </c>
      <c r="V391" s="135" t="s">
        <v>658</v>
      </c>
      <c r="W391" s="136" t="s">
        <v>179</v>
      </c>
    </row>
    <row r="392" spans="16:23" ht="12" customHeight="1" x14ac:dyDescent="0.2">
      <c r="Q392" s="137" t="s">
        <v>458</v>
      </c>
      <c r="R392" s="138">
        <v>1800</v>
      </c>
      <c r="S392" s="138">
        <v>0</v>
      </c>
      <c r="T392" s="138">
        <v>150</v>
      </c>
      <c r="U392" s="138">
        <v>0</v>
      </c>
      <c r="V392" s="138">
        <v>0</v>
      </c>
      <c r="W392" s="139">
        <f>SUM(R392:V392)</f>
        <v>1950</v>
      </c>
    </row>
    <row r="393" spans="16:23" ht="12" customHeight="1" x14ac:dyDescent="0.2">
      <c r="Q393" s="140" t="s">
        <v>569</v>
      </c>
      <c r="R393" s="141">
        <v>1800</v>
      </c>
      <c r="S393" s="141">
        <v>0</v>
      </c>
      <c r="T393" s="141">
        <v>200</v>
      </c>
      <c r="U393" s="141">
        <v>0</v>
      </c>
      <c r="V393" s="141">
        <v>1600</v>
      </c>
      <c r="W393" s="139">
        <f t="shared" ref="W393:W396" si="28">SUM(R393:V393)</f>
        <v>3600</v>
      </c>
    </row>
    <row r="394" spans="16:23" ht="12" customHeight="1" x14ac:dyDescent="0.2">
      <c r="Q394" s="140" t="s">
        <v>570</v>
      </c>
      <c r="R394" s="141">
        <v>1800</v>
      </c>
      <c r="S394" s="141">
        <v>0</v>
      </c>
      <c r="T394" s="141">
        <v>400</v>
      </c>
      <c r="U394" s="141">
        <v>1200</v>
      </c>
      <c r="V394" s="141">
        <v>1600</v>
      </c>
      <c r="W394" s="139">
        <f t="shared" si="28"/>
        <v>5000</v>
      </c>
    </row>
    <row r="395" spans="16:23" ht="12" customHeight="1" x14ac:dyDescent="0.2">
      <c r="Q395" s="140" t="s">
        <v>571</v>
      </c>
      <c r="R395" s="141">
        <v>3600</v>
      </c>
      <c r="S395" s="141">
        <v>0</v>
      </c>
      <c r="T395" s="141">
        <v>800</v>
      </c>
      <c r="U395" s="141">
        <v>1200</v>
      </c>
      <c r="V395" s="141">
        <v>1600</v>
      </c>
      <c r="W395" s="139">
        <f t="shared" si="28"/>
        <v>7200</v>
      </c>
    </row>
    <row r="396" spans="16:23" ht="12" customHeight="1" thickBot="1" x14ac:dyDescent="0.25">
      <c r="Q396" s="142" t="s">
        <v>575</v>
      </c>
      <c r="R396" s="143">
        <v>5400</v>
      </c>
      <c r="S396" s="143">
        <v>1800</v>
      </c>
      <c r="T396" s="143">
        <v>1000</v>
      </c>
      <c r="U396" s="143">
        <v>2400</v>
      </c>
      <c r="V396" s="143">
        <v>3200</v>
      </c>
      <c r="W396" s="144">
        <f t="shared" si="28"/>
        <v>13800</v>
      </c>
    </row>
    <row r="397" spans="16:23" ht="12" customHeight="1" thickBot="1" x14ac:dyDescent="0.25">
      <c r="Q397" s="990" t="s">
        <v>110</v>
      </c>
      <c r="R397" s="991"/>
      <c r="S397" s="991"/>
      <c r="T397" s="991"/>
      <c r="U397" s="991"/>
      <c r="V397" s="991"/>
      <c r="W397" s="992"/>
    </row>
    <row r="398" spans="16:23" ht="12" customHeight="1" thickBot="1" x14ac:dyDescent="0.25"/>
    <row r="399" spans="16:23" ht="12" customHeight="1" x14ac:dyDescent="0.2">
      <c r="P399" s="887" t="s">
        <v>503</v>
      </c>
      <c r="Q399" s="888"/>
      <c r="R399" s="888"/>
      <c r="S399" s="888"/>
      <c r="T399" s="889"/>
    </row>
    <row r="400" spans="16:23" ht="12" customHeight="1" thickBot="1" x14ac:dyDescent="0.25">
      <c r="P400" s="890"/>
      <c r="Q400" s="891"/>
      <c r="R400" s="891"/>
      <c r="S400" s="891"/>
      <c r="T400" s="892"/>
    </row>
    <row r="401" spans="16:22" ht="12" customHeight="1" x14ac:dyDescent="0.2">
      <c r="P401" s="310"/>
      <c r="Q401" s="96"/>
      <c r="R401" s="473" t="s">
        <v>33</v>
      </c>
      <c r="S401" s="474"/>
      <c r="T401" s="311"/>
    </row>
    <row r="402" spans="16:22" ht="12" customHeight="1" thickBot="1" x14ac:dyDescent="0.25">
      <c r="P402" s="361" t="s">
        <v>121</v>
      </c>
      <c r="Q402" s="362"/>
      <c r="R402" s="358" t="s">
        <v>122</v>
      </c>
      <c r="S402" s="358" t="s">
        <v>38</v>
      </c>
      <c r="T402" s="359" t="s">
        <v>123</v>
      </c>
    </row>
    <row r="403" spans="16:22" ht="12" customHeight="1" x14ac:dyDescent="0.2">
      <c r="P403" s="435" t="s">
        <v>670</v>
      </c>
      <c r="Q403" s="416" t="s">
        <v>506</v>
      </c>
      <c r="R403" s="352">
        <v>1</v>
      </c>
      <c r="S403" s="230">
        <f>IF($G$15&lt;=450,R412,(IF($G$15&lt;=800,R413,(IF($G$15&lt;=1200,R414,(IF($G$15&lt;=1600,R415,(IF($G$15&gt;1600,R416)))))))))</f>
        <v>4800</v>
      </c>
      <c r="T403" s="315">
        <f>R403*S403</f>
        <v>4800</v>
      </c>
    </row>
    <row r="404" spans="16:22" ht="12" customHeight="1" x14ac:dyDescent="0.2">
      <c r="P404" s="435" t="s">
        <v>671</v>
      </c>
      <c r="Q404" s="416" t="s">
        <v>507</v>
      </c>
      <c r="R404" s="352">
        <v>1</v>
      </c>
      <c r="S404" s="230">
        <f>IF($G$15&lt;=450,S412,(IF($G$15&lt;=800,S413,(IF($G$15&lt;=1200,S414,(IF($G$15&lt;=1600,S415,(IF($G$15&gt;1600,S416)))))))))</f>
        <v>800</v>
      </c>
      <c r="T404" s="315">
        <f>R404*S404</f>
        <v>800</v>
      </c>
    </row>
    <row r="405" spans="16:22" ht="12" customHeight="1" x14ac:dyDescent="0.2">
      <c r="P405" s="435" t="s">
        <v>672</v>
      </c>
      <c r="Q405" s="49" t="s">
        <v>674</v>
      </c>
      <c r="R405" s="352">
        <v>1</v>
      </c>
      <c r="S405" s="230">
        <f>IF($G$15&lt;=450,T412,(IF($G$15&lt;=800,T413,(IF($G$15&lt;=1200,T414,(IF($G$15&lt;=1600,T415,(IF($G$15&gt;1600,T416)))))))))</f>
        <v>150</v>
      </c>
      <c r="T405" s="315">
        <f t="shared" ref="T405:T406" si="29">R405*S405</f>
        <v>150</v>
      </c>
    </row>
    <row r="406" spans="16:22" ht="12" customHeight="1" x14ac:dyDescent="0.2">
      <c r="P406" s="435" t="s">
        <v>673</v>
      </c>
      <c r="Q406" s="49" t="s">
        <v>675</v>
      </c>
      <c r="R406" s="352">
        <v>1</v>
      </c>
      <c r="S406" s="300">
        <f>IF($G$15&lt;=450,U412,(IF($G$15&lt;=800,U413,(IF($G$15&lt;=1200,U414,(IF($G$15&lt;=1600,U415,(IF($G$15&gt;1600,U416)))))))))</f>
        <v>1200</v>
      </c>
      <c r="T406" s="349">
        <f t="shared" si="29"/>
        <v>1200</v>
      </c>
    </row>
    <row r="407" spans="16:22" ht="12" customHeight="1" x14ac:dyDescent="0.2">
      <c r="P407" s="435"/>
      <c r="Q407" s="49"/>
      <c r="R407" s="344"/>
      <c r="S407" s="80"/>
      <c r="T407" s="318"/>
    </row>
    <row r="408" spans="16:22" ht="12" customHeight="1" thickBot="1" x14ac:dyDescent="0.25">
      <c r="P408" s="379" t="s">
        <v>676</v>
      </c>
      <c r="Q408" s="347"/>
      <c r="R408" s="345"/>
      <c r="S408" s="321"/>
      <c r="T408" s="322">
        <f>SUM(T403:T406)</f>
        <v>6950</v>
      </c>
    </row>
    <row r="409" spans="16:22" ht="12" customHeight="1" thickBot="1" x14ac:dyDescent="0.25"/>
    <row r="410" spans="16:22" ht="12" customHeight="1" thickBot="1" x14ac:dyDescent="0.25">
      <c r="Q410" s="987" t="s">
        <v>102</v>
      </c>
      <c r="R410" s="988"/>
      <c r="S410" s="988"/>
      <c r="T410" s="988"/>
      <c r="U410" s="988"/>
      <c r="V410" s="989"/>
    </row>
    <row r="411" spans="16:22" ht="12" customHeight="1" thickBot="1" x14ac:dyDescent="0.25">
      <c r="Q411" s="134" t="s">
        <v>103</v>
      </c>
      <c r="R411" s="135" t="s">
        <v>670</v>
      </c>
      <c r="S411" s="135" t="s">
        <v>671</v>
      </c>
      <c r="T411" s="135" t="s">
        <v>672</v>
      </c>
      <c r="U411" s="135" t="s">
        <v>673</v>
      </c>
      <c r="V411" s="136" t="s">
        <v>179</v>
      </c>
    </row>
    <row r="412" spans="16:22" ht="12" customHeight="1" x14ac:dyDescent="0.2">
      <c r="Q412" s="137" t="s">
        <v>458</v>
      </c>
      <c r="R412" s="138">
        <v>1200</v>
      </c>
      <c r="S412" s="138">
        <v>200</v>
      </c>
      <c r="T412" s="138">
        <v>150</v>
      </c>
      <c r="U412" s="138">
        <v>0</v>
      </c>
      <c r="V412" s="139">
        <f>SUM(R412:U412)</f>
        <v>1550</v>
      </c>
    </row>
    <row r="413" spans="16:22" ht="12" customHeight="1" x14ac:dyDescent="0.2">
      <c r="Q413" s="140" t="s">
        <v>569</v>
      </c>
      <c r="R413" s="141">
        <v>1200</v>
      </c>
      <c r="S413" s="141">
        <v>250</v>
      </c>
      <c r="T413" s="141">
        <v>150</v>
      </c>
      <c r="U413" s="141">
        <v>1200</v>
      </c>
      <c r="V413" s="139">
        <f t="shared" ref="V413:V416" si="30">SUM(R413:U413)</f>
        <v>2800</v>
      </c>
    </row>
    <row r="414" spans="16:22" ht="12" customHeight="1" x14ac:dyDescent="0.2">
      <c r="Q414" s="140" t="s">
        <v>570</v>
      </c>
      <c r="R414" s="141">
        <v>1200</v>
      </c>
      <c r="S414" s="141">
        <v>300</v>
      </c>
      <c r="T414" s="141">
        <v>150</v>
      </c>
      <c r="U414" s="141">
        <v>1200</v>
      </c>
      <c r="V414" s="139">
        <f t="shared" si="30"/>
        <v>2850</v>
      </c>
    </row>
    <row r="415" spans="16:22" ht="12" customHeight="1" x14ac:dyDescent="0.2">
      <c r="Q415" s="140" t="s">
        <v>571</v>
      </c>
      <c r="R415" s="141">
        <v>2400</v>
      </c>
      <c r="S415" s="141">
        <v>350</v>
      </c>
      <c r="T415" s="141">
        <v>150</v>
      </c>
      <c r="U415" s="141">
        <v>1200</v>
      </c>
      <c r="V415" s="139">
        <f t="shared" si="30"/>
        <v>4100</v>
      </c>
    </row>
    <row r="416" spans="16:22" ht="12" customHeight="1" thickBot="1" x14ac:dyDescent="0.25">
      <c r="Q416" s="142" t="s">
        <v>575</v>
      </c>
      <c r="R416" s="143">
        <v>4800</v>
      </c>
      <c r="S416" s="143">
        <v>800</v>
      </c>
      <c r="T416" s="143">
        <v>150</v>
      </c>
      <c r="U416" s="143">
        <v>1200</v>
      </c>
      <c r="V416" s="144">
        <f t="shared" si="30"/>
        <v>6950</v>
      </c>
    </row>
    <row r="417" spans="16:22" ht="12" customHeight="1" thickBot="1" x14ac:dyDescent="0.25">
      <c r="Q417" s="990" t="s">
        <v>110</v>
      </c>
      <c r="R417" s="991"/>
      <c r="S417" s="991"/>
      <c r="T417" s="991"/>
      <c r="U417" s="991"/>
      <c r="V417" s="992"/>
    </row>
    <row r="418" spans="16:22" ht="12" customHeight="1" x14ac:dyDescent="0.2"/>
    <row r="419" spans="16:22" ht="12" customHeight="1" thickBot="1" x14ac:dyDescent="0.25"/>
    <row r="420" spans="16:22" ht="12" customHeight="1" x14ac:dyDescent="0.2">
      <c r="P420" s="887" t="s">
        <v>669</v>
      </c>
      <c r="Q420" s="888"/>
      <c r="R420" s="888"/>
      <c r="S420" s="888"/>
      <c r="T420" s="889"/>
    </row>
    <row r="421" spans="16:22" ht="12" customHeight="1" thickBot="1" x14ac:dyDescent="0.25">
      <c r="P421" s="890"/>
      <c r="Q421" s="891"/>
      <c r="R421" s="891"/>
      <c r="S421" s="891"/>
      <c r="T421" s="892"/>
    </row>
    <row r="422" spans="16:22" ht="12" customHeight="1" x14ac:dyDescent="0.2">
      <c r="P422" s="310"/>
      <c r="Q422" s="96"/>
      <c r="R422" s="473" t="s">
        <v>33</v>
      </c>
      <c r="S422" s="474"/>
      <c r="T422" s="311"/>
    </row>
    <row r="423" spans="16:22" ht="12" customHeight="1" thickBot="1" x14ac:dyDescent="0.25">
      <c r="P423" s="312" t="s">
        <v>121</v>
      </c>
      <c r="Q423" s="99"/>
      <c r="R423" s="183" t="s">
        <v>122</v>
      </c>
      <c r="S423" s="100" t="s">
        <v>38</v>
      </c>
      <c r="T423" s="313" t="s">
        <v>123</v>
      </c>
    </row>
    <row r="424" spans="16:22" ht="12" customHeight="1" x14ac:dyDescent="0.2">
      <c r="P424" s="435" t="s">
        <v>662</v>
      </c>
      <c r="Q424" s="436" t="s">
        <v>663</v>
      </c>
      <c r="R424" s="187">
        <v>1</v>
      </c>
      <c r="S424" s="230">
        <f>IF($G$15&lt;=450,R433,(IF($G$15&lt;=800,R434,(IF($G$15&lt;=1200,R435,(IF($G$15&lt;=1600,R436,(IF($G$15&gt;1600,R437)))))))))</f>
        <v>4000</v>
      </c>
      <c r="T424" s="315">
        <f>R424*S424</f>
        <v>4000</v>
      </c>
    </row>
    <row r="425" spans="16:22" ht="12" customHeight="1" x14ac:dyDescent="0.2">
      <c r="P425" s="435" t="s">
        <v>664</v>
      </c>
      <c r="Q425" s="416" t="s">
        <v>665</v>
      </c>
      <c r="R425" s="146">
        <v>1</v>
      </c>
      <c r="S425" s="230">
        <f>IF($G$15&lt;=450,S433,(IF($G$15&lt;=800,S434,(IF($G$15&lt;=1200,S435,(IF($G$15&lt;=1600,S436,(IF($G$15&gt;1600,S437)))))))))</f>
        <v>1800</v>
      </c>
      <c r="T425" s="315">
        <f>R425*S425</f>
        <v>1800</v>
      </c>
    </row>
    <row r="426" spans="16:22" ht="12" customHeight="1" x14ac:dyDescent="0.2">
      <c r="P426" s="435" t="s">
        <v>666</v>
      </c>
      <c r="Q426" s="49" t="s">
        <v>667</v>
      </c>
      <c r="R426" s="360">
        <v>1</v>
      </c>
      <c r="S426" s="300">
        <f>IF($G$15&lt;=450,T433,(IF($G$15&lt;=800,T434,(IF($G$15&lt;=1200,T435,(IF($G$15&lt;=1600,T436,(IF($G$15&gt;1600,T437)))))))))</f>
        <v>1200</v>
      </c>
      <c r="T426" s="349">
        <f>R426*S426</f>
        <v>1200</v>
      </c>
    </row>
    <row r="427" spans="16:22" ht="12" customHeight="1" x14ac:dyDescent="0.2">
      <c r="P427" s="435"/>
      <c r="Q427" s="49"/>
      <c r="R427" s="323"/>
      <c r="S427" s="80"/>
      <c r="T427" s="318"/>
    </row>
    <row r="428" spans="16:22" ht="12" customHeight="1" thickBot="1" x14ac:dyDescent="0.25">
      <c r="P428" s="379" t="s">
        <v>668</v>
      </c>
      <c r="Q428" s="347"/>
      <c r="R428" s="356"/>
      <c r="S428" s="321"/>
      <c r="T428" s="322">
        <f>SUM(T424:T426)</f>
        <v>7000</v>
      </c>
    </row>
    <row r="429" spans="16:22" ht="12" customHeight="1" x14ac:dyDescent="0.2"/>
    <row r="430" spans="16:22" ht="12" customHeight="1" thickBot="1" x14ac:dyDescent="0.25"/>
    <row r="431" spans="16:22" ht="12" customHeight="1" thickBot="1" x14ac:dyDescent="0.25">
      <c r="Q431" s="987" t="s">
        <v>102</v>
      </c>
      <c r="R431" s="988"/>
      <c r="S431" s="988"/>
      <c r="T431" s="988"/>
      <c r="U431" s="989"/>
    </row>
    <row r="432" spans="16:22" ht="12" customHeight="1" thickBot="1" x14ac:dyDescent="0.25">
      <c r="Q432" s="134" t="s">
        <v>103</v>
      </c>
      <c r="R432" s="135" t="s">
        <v>662</v>
      </c>
      <c r="S432" s="135" t="s">
        <v>664</v>
      </c>
      <c r="T432" s="135" t="s">
        <v>666</v>
      </c>
      <c r="U432" s="136" t="s">
        <v>179</v>
      </c>
    </row>
    <row r="433" spans="17:21" ht="12" customHeight="1" x14ac:dyDescent="0.2">
      <c r="Q433" s="137" t="s">
        <v>458</v>
      </c>
      <c r="R433" s="138">
        <v>1000</v>
      </c>
      <c r="S433" s="138">
        <v>0</v>
      </c>
      <c r="T433" s="138">
        <v>100</v>
      </c>
      <c r="U433" s="139">
        <f>SUM(R433:T433)</f>
        <v>1100</v>
      </c>
    </row>
    <row r="434" spans="17:21" ht="12" customHeight="1" x14ac:dyDescent="0.2">
      <c r="Q434" s="140" t="s">
        <v>569</v>
      </c>
      <c r="R434" s="141">
        <v>1000</v>
      </c>
      <c r="S434" s="141">
        <v>900</v>
      </c>
      <c r="T434" s="141">
        <v>200</v>
      </c>
      <c r="U434" s="139">
        <f t="shared" ref="U434:U437" si="31">SUM(R434:T434)</f>
        <v>2100</v>
      </c>
    </row>
    <row r="435" spans="17:21" ht="12" customHeight="1" x14ac:dyDescent="0.2">
      <c r="Q435" s="140" t="s">
        <v>570</v>
      </c>
      <c r="R435" s="141">
        <v>1000</v>
      </c>
      <c r="S435" s="141">
        <v>900</v>
      </c>
      <c r="T435" s="141">
        <v>250</v>
      </c>
      <c r="U435" s="139">
        <f t="shared" si="31"/>
        <v>2150</v>
      </c>
    </row>
    <row r="436" spans="17:21" ht="12" customHeight="1" x14ac:dyDescent="0.2">
      <c r="Q436" s="140" t="s">
        <v>571</v>
      </c>
      <c r="R436" s="141">
        <v>2000</v>
      </c>
      <c r="S436" s="141">
        <v>1800</v>
      </c>
      <c r="T436" s="141">
        <v>900</v>
      </c>
      <c r="U436" s="139">
        <f t="shared" si="31"/>
        <v>4700</v>
      </c>
    </row>
    <row r="437" spans="17:21" ht="12" customHeight="1" thickBot="1" x14ac:dyDescent="0.25">
      <c r="Q437" s="142" t="s">
        <v>575</v>
      </c>
      <c r="R437" s="143">
        <v>4000</v>
      </c>
      <c r="S437" s="143">
        <v>1800</v>
      </c>
      <c r="T437" s="143">
        <v>1200</v>
      </c>
      <c r="U437" s="139">
        <f t="shared" si="31"/>
        <v>7000</v>
      </c>
    </row>
    <row r="438" spans="17:21" ht="12" customHeight="1" thickBot="1" x14ac:dyDescent="0.25">
      <c r="Q438" s="990" t="s">
        <v>110</v>
      </c>
      <c r="R438" s="991"/>
      <c r="S438" s="991"/>
      <c r="T438" s="991"/>
      <c r="U438" s="992"/>
    </row>
    <row r="439" spans="17:21" ht="12" customHeight="1" x14ac:dyDescent="0.2"/>
    <row r="440" spans="17:21" ht="12" customHeight="1" x14ac:dyDescent="0.2"/>
    <row r="441" spans="17:21" ht="12" customHeight="1" x14ac:dyDescent="0.2"/>
    <row r="442" spans="17:21" ht="12" customHeight="1" x14ac:dyDescent="0.2"/>
    <row r="443" spans="17:21" ht="12" customHeight="1" x14ac:dyDescent="0.2"/>
    <row r="444" spans="17:21" ht="12" customHeight="1" x14ac:dyDescent="0.2"/>
    <row r="445" spans="17:21" ht="12" customHeight="1" x14ac:dyDescent="0.2"/>
    <row r="446" spans="17:21" ht="12" customHeight="1" x14ac:dyDescent="0.2"/>
    <row r="447" spans="17:21" ht="12" customHeight="1" x14ac:dyDescent="0.2"/>
    <row r="448" spans="17:21"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75" customHeight="1" x14ac:dyDescent="0.2"/>
    <row r="481" ht="12.75" customHeight="1" x14ac:dyDescent="0.2"/>
    <row r="482" ht="12.75" customHeight="1" x14ac:dyDescent="0.2"/>
    <row r="483" ht="12.75" customHeight="1" x14ac:dyDescent="0.2"/>
  </sheetData>
  <sheetProtection password="D821" sheet="1" objects="1" scenarios="1" selectLockedCells="1"/>
  <mergeCells count="106">
    <mergeCell ref="P420:T421"/>
    <mergeCell ref="Q431:U431"/>
    <mergeCell ref="Q438:U438"/>
    <mergeCell ref="Q410:V410"/>
    <mergeCell ref="Q417:V417"/>
    <mergeCell ref="P399:T400"/>
    <mergeCell ref="Q364:T364"/>
    <mergeCell ref="Q366:AA366"/>
    <mergeCell ref="Q373:AA373"/>
    <mergeCell ref="P377:T378"/>
    <mergeCell ref="Q235:AD235"/>
    <mergeCell ref="P209:T210"/>
    <mergeCell ref="Q260:Z260"/>
    <mergeCell ref="Q267:Z267"/>
    <mergeCell ref="Q330:T330"/>
    <mergeCell ref="Q390:W390"/>
    <mergeCell ref="Q397:W397"/>
    <mergeCell ref="P334:T335"/>
    <mergeCell ref="P353:X353"/>
    <mergeCell ref="Q359:T359"/>
    <mergeCell ref="P238:T239"/>
    <mergeCell ref="P254:V254"/>
    <mergeCell ref="P277:T278"/>
    <mergeCell ref="Q293:V293"/>
    <mergeCell ref="Q301:V301"/>
    <mergeCell ref="Q303:T303"/>
    <mergeCell ref="Q310:T310"/>
    <mergeCell ref="P314:T315"/>
    <mergeCell ref="Q323:T323"/>
    <mergeCell ref="P176:T177"/>
    <mergeCell ref="Q200:AI200"/>
    <mergeCell ref="Q207:AI207"/>
    <mergeCell ref="P119:T120"/>
    <mergeCell ref="Q146:U146"/>
    <mergeCell ref="P149:T150"/>
    <mergeCell ref="Q166:AB166"/>
    <mergeCell ref="Q173:AB173"/>
    <mergeCell ref="Q228:AD228"/>
    <mergeCell ref="G14:H14"/>
    <mergeCell ref="K14:M14"/>
    <mergeCell ref="P4:T5"/>
    <mergeCell ref="Q32:AG32"/>
    <mergeCell ref="Q39:AG39"/>
    <mergeCell ref="A1:M1"/>
    <mergeCell ref="A4:M8"/>
    <mergeCell ref="C11:H12"/>
    <mergeCell ref="K11:M12"/>
    <mergeCell ref="K23:M23"/>
    <mergeCell ref="G15:H15"/>
    <mergeCell ref="K15:M15"/>
    <mergeCell ref="G16:H16"/>
    <mergeCell ref="K16:M16"/>
    <mergeCell ref="G17:H17"/>
    <mergeCell ref="K17:M17"/>
    <mergeCell ref="G18:H18"/>
    <mergeCell ref="G19:H19"/>
    <mergeCell ref="C21:F21"/>
    <mergeCell ref="K21:M21"/>
    <mergeCell ref="K22:M22"/>
    <mergeCell ref="K24:M24"/>
    <mergeCell ref="G26:H26"/>
    <mergeCell ref="K26:M26"/>
    <mergeCell ref="Q98:R98"/>
    <mergeCell ref="Q106:R106"/>
    <mergeCell ref="Q139:U139"/>
    <mergeCell ref="C82:M82"/>
    <mergeCell ref="C77:M77"/>
    <mergeCell ref="P57:V57"/>
    <mergeCell ref="C67:M67"/>
    <mergeCell ref="C68:M68"/>
    <mergeCell ref="C69:M69"/>
    <mergeCell ref="C70:M70"/>
    <mergeCell ref="C71:M71"/>
    <mergeCell ref="Q71:W71"/>
    <mergeCell ref="C72:M72"/>
    <mergeCell ref="C73:M73"/>
    <mergeCell ref="C74:M74"/>
    <mergeCell ref="C75:M75"/>
    <mergeCell ref="C76:M76"/>
    <mergeCell ref="P80:T81"/>
    <mergeCell ref="Q108:Y108"/>
    <mergeCell ref="Q115:Y115"/>
    <mergeCell ref="Q129:R129"/>
    <mergeCell ref="Q137:R137"/>
    <mergeCell ref="C22:F22"/>
    <mergeCell ref="C23:F23"/>
    <mergeCell ref="C24:F24"/>
    <mergeCell ref="C78:M78"/>
    <mergeCell ref="C79:M79"/>
    <mergeCell ref="Q78:W78"/>
    <mergeCell ref="C80:M80"/>
    <mergeCell ref="C81:M81"/>
    <mergeCell ref="P93:V93"/>
    <mergeCell ref="P26:V26"/>
    <mergeCell ref="G27:H27"/>
    <mergeCell ref="K27:M27"/>
    <mergeCell ref="C37:M37"/>
    <mergeCell ref="P45:T46"/>
    <mergeCell ref="G28:H28"/>
    <mergeCell ref="K28:M28"/>
    <mergeCell ref="C31:L31"/>
    <mergeCell ref="C32:L32"/>
    <mergeCell ref="C33:M35"/>
    <mergeCell ref="C36:M36"/>
    <mergeCell ref="C38:M38"/>
    <mergeCell ref="C40:G41"/>
  </mergeCells>
  <pageMargins left="1" right="0.5" top="1" bottom="0.37" header="0.5" footer="0.25"/>
  <pageSetup scale="6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385" r:id="rId4" name="Option Button 1">
              <controlPr defaultSize="0" autoFill="0" autoLine="0" autoPict="0">
                <anchor moveWithCells="1">
                  <from>
                    <xdr:col>3</xdr:col>
                    <xdr:colOff>809625</xdr:colOff>
                    <xdr:row>16</xdr:row>
                    <xdr:rowOff>123825</xdr:rowOff>
                  </from>
                  <to>
                    <xdr:col>3</xdr:col>
                    <xdr:colOff>1981200</xdr:colOff>
                    <xdr:row>18</xdr:row>
                    <xdr:rowOff>28575</xdr:rowOff>
                  </to>
                </anchor>
              </controlPr>
            </control>
          </mc:Choice>
        </mc:AlternateContent>
        <mc:AlternateContent xmlns:mc="http://schemas.openxmlformats.org/markup-compatibility/2006">
          <mc:Choice Requires="x14">
            <control shapeId="16386" r:id="rId5" name="Option Button 2">
              <controlPr defaultSize="0" autoFill="0" autoLine="0" autoPict="0">
                <anchor moveWithCells="1">
                  <from>
                    <xdr:col>3</xdr:col>
                    <xdr:colOff>2047875</xdr:colOff>
                    <xdr:row>16</xdr:row>
                    <xdr:rowOff>114300</xdr:rowOff>
                  </from>
                  <to>
                    <xdr:col>5</xdr:col>
                    <xdr:colOff>295275</xdr:colOff>
                    <xdr:row>18</xdr:row>
                    <xdr:rowOff>28575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ransitionEvaluation="1" enableFormatConditionsCalculation="0">
    <tabColor indexed="43"/>
  </sheetPr>
  <dimension ref="A1:DM485"/>
  <sheetViews>
    <sheetView defaultGridColor="0" colorId="22" zoomScale="117" zoomScaleNormal="117" zoomScalePageLayoutView="117" workbookViewId="0">
      <selection activeCell="G16" sqref="G16:H16"/>
    </sheetView>
  </sheetViews>
  <sheetFormatPr defaultColWidth="8.85546875" defaultRowHeight="12.75" x14ac:dyDescent="0.2"/>
  <cols>
    <col min="1" max="1" width="8.7109375" style="1" customWidth="1"/>
    <col min="2" max="2" width="1.140625" style="1" customWidth="1"/>
    <col min="3" max="3" width="10.42578125" style="1" customWidth="1"/>
    <col min="4" max="4" width="32.140625" style="1" customWidth="1"/>
    <col min="5" max="6" width="10.28515625" style="1" customWidth="1"/>
    <col min="7" max="7" width="10" style="1" customWidth="1"/>
    <col min="8" max="8" width="18.42578125" style="1" customWidth="1"/>
    <col min="9" max="9" width="10.28515625" style="1" customWidth="1"/>
    <col min="10" max="11" width="8.85546875" style="1" customWidth="1"/>
    <col min="12" max="12" width="11" style="1" customWidth="1"/>
    <col min="13" max="14" width="8.85546875" style="1" customWidth="1"/>
    <col min="15" max="20" width="8.85546875" style="1" hidden="1" customWidth="1"/>
    <col min="21" max="21" width="10.42578125" style="1" hidden="1" customWidth="1"/>
    <col min="22" max="29" width="8.85546875" style="1" hidden="1" customWidth="1"/>
    <col min="30" max="30" width="16.42578125" style="1" hidden="1" customWidth="1"/>
    <col min="31" max="31" width="26.42578125" style="1" hidden="1" customWidth="1"/>
    <col min="32" max="52" width="11.28515625" style="1" hidden="1" customWidth="1"/>
    <col min="53" max="53" width="26.42578125" style="1" hidden="1" customWidth="1"/>
    <col min="54" max="67" width="11.28515625" style="1" hidden="1" customWidth="1"/>
    <col min="68" max="72" width="8.85546875" style="1" hidden="1" customWidth="1"/>
    <col min="73" max="73" width="26.42578125" style="1" hidden="1" customWidth="1"/>
    <col min="74" max="89" width="8.85546875" style="1" hidden="1" customWidth="1"/>
    <col min="90" max="90" width="42.42578125" style="1" hidden="1" customWidth="1"/>
    <col min="91" max="93" width="8.85546875" style="1" hidden="1" customWidth="1"/>
    <col min="94" max="96" width="9.140625" style="1" hidden="1" customWidth="1"/>
    <col min="97" max="117" width="8.85546875" style="1" hidden="1" customWidth="1"/>
    <col min="118" max="118" width="0" style="1" hidden="1" customWidth="1"/>
    <col min="119" max="16384" width="8.85546875" style="1"/>
  </cols>
  <sheetData>
    <row r="1" spans="1:116" ht="12" customHeight="1" x14ac:dyDescent="0.2">
      <c r="A1" s="886" t="s">
        <v>827</v>
      </c>
      <c r="B1" s="886"/>
      <c r="C1" s="886"/>
      <c r="D1" s="886"/>
      <c r="E1" s="886"/>
      <c r="F1" s="886"/>
      <c r="G1" s="886"/>
      <c r="H1" s="886"/>
      <c r="I1" s="886"/>
      <c r="J1" s="886"/>
      <c r="K1" s="886"/>
      <c r="L1" s="886"/>
      <c r="M1" s="886"/>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row>
    <row r="2" spans="1:116" ht="12" customHeight="1" thickBot="1" x14ac:dyDescent="0.25">
      <c r="A2" s="5" t="s">
        <v>37</v>
      </c>
      <c r="B2" s="5"/>
      <c r="C2" s="6"/>
      <c r="D2" s="7"/>
      <c r="E2" s="7"/>
      <c r="F2" s="8"/>
      <c r="G2" s="9"/>
      <c r="H2" s="6"/>
      <c r="I2" s="8"/>
      <c r="J2" s="8"/>
      <c r="K2" s="8"/>
      <c r="L2" s="8"/>
      <c r="M2" s="10" t="s">
        <v>44</v>
      </c>
      <c r="N2" s="2"/>
      <c r="O2" s="2"/>
      <c r="P2" s="2"/>
      <c r="Q2" s="2"/>
      <c r="R2" s="2"/>
      <c r="S2" s="2"/>
      <c r="T2" s="2"/>
      <c r="U2" s="2"/>
      <c r="V2" s="2"/>
      <c r="W2" s="2"/>
      <c r="X2" s="2"/>
      <c r="Y2" s="2"/>
      <c r="Z2" s="2"/>
      <c r="AA2" s="2"/>
      <c r="AB2" s="2"/>
      <c r="AC2" s="2"/>
      <c r="AD2" s="275"/>
      <c r="AE2" s="274"/>
      <c r="AF2" s="274"/>
      <c r="AG2" s="274"/>
      <c r="AH2" s="274"/>
      <c r="AK2" s="2"/>
      <c r="AL2" s="2"/>
      <c r="AM2" s="2"/>
      <c r="AN2" s="2"/>
      <c r="AO2" s="18"/>
    </row>
    <row r="3" spans="1:116" ht="12" customHeight="1" thickBot="1" x14ac:dyDescent="0.25">
      <c r="A3" s="11"/>
      <c r="B3" s="11"/>
      <c r="C3" s="12"/>
      <c r="D3" s="15"/>
      <c r="E3" s="15"/>
      <c r="F3" s="12"/>
      <c r="G3" s="273"/>
      <c r="H3" s="12"/>
      <c r="I3" s="12"/>
      <c r="J3" s="12"/>
      <c r="K3" s="12"/>
      <c r="L3" s="12"/>
      <c r="M3" s="273"/>
      <c r="N3" s="2"/>
      <c r="O3" s="2"/>
      <c r="P3" s="2"/>
      <c r="Q3" s="2"/>
      <c r="R3" s="2"/>
      <c r="S3" s="2"/>
      <c r="T3" s="2"/>
      <c r="U3" s="2"/>
      <c r="V3" s="2"/>
      <c r="W3" s="2"/>
      <c r="X3" s="2"/>
      <c r="Y3" s="2"/>
      <c r="Z3" s="2"/>
      <c r="AA3" s="2"/>
      <c r="AB3" s="2"/>
      <c r="AC3" s="2"/>
      <c r="AD3" s="275"/>
      <c r="AE3" s="274"/>
      <c r="AF3" s="274"/>
      <c r="AG3" s="274"/>
      <c r="AH3" s="274"/>
      <c r="AK3" s="2"/>
      <c r="AL3" s="2"/>
      <c r="AM3" s="2"/>
      <c r="AN3" s="2"/>
      <c r="AO3" s="18"/>
    </row>
    <row r="4" spans="1:116" ht="12" customHeight="1" thickBot="1" x14ac:dyDescent="0.25">
      <c r="A4" s="893" t="s">
        <v>425</v>
      </c>
      <c r="B4" s="893"/>
      <c r="C4" s="893"/>
      <c r="D4" s="893"/>
      <c r="E4" s="893"/>
      <c r="F4" s="893"/>
      <c r="G4" s="893"/>
      <c r="H4" s="893"/>
      <c r="I4" s="893"/>
      <c r="J4" s="893"/>
      <c r="K4" s="893"/>
      <c r="L4" s="893"/>
      <c r="M4" s="893"/>
      <c r="N4" s="2"/>
      <c r="O4" s="2"/>
      <c r="P4" s="2"/>
      <c r="Q4" s="2"/>
      <c r="R4" s="2"/>
      <c r="S4" s="2"/>
      <c r="T4" s="2"/>
      <c r="U4" s="2"/>
      <c r="V4" s="2"/>
      <c r="W4" s="2"/>
      <c r="X4" s="2"/>
      <c r="Y4" s="2"/>
      <c r="Z4" s="2"/>
      <c r="AA4" s="2"/>
      <c r="AB4" s="2"/>
      <c r="AC4" s="2"/>
      <c r="AD4" s="1011" t="s">
        <v>738</v>
      </c>
      <c r="AE4" s="1012"/>
      <c r="AF4" s="1012"/>
      <c r="AG4" s="1012"/>
      <c r="AH4" s="1013"/>
      <c r="AK4" s="2"/>
      <c r="AL4" s="2"/>
      <c r="AM4" s="2"/>
      <c r="AN4" s="2"/>
      <c r="AO4" s="18"/>
      <c r="AZ4" s="1011" t="s">
        <v>739</v>
      </c>
      <c r="BA4" s="1012"/>
      <c r="BB4" s="1012"/>
      <c r="BC4" s="1012"/>
      <c r="BD4" s="1013"/>
      <c r="BE4" s="2"/>
      <c r="BF4" s="2"/>
      <c r="BG4" s="2"/>
      <c r="BH4" s="2"/>
      <c r="BI4" s="2"/>
      <c r="BJ4" s="2"/>
      <c r="BK4" s="18"/>
      <c r="BT4" s="1000" t="s">
        <v>740</v>
      </c>
      <c r="BU4" s="1001"/>
      <c r="BV4" s="1001"/>
      <c r="BW4" s="1001"/>
      <c r="BX4" s="1002"/>
      <c r="CA4" s="2"/>
      <c r="CB4" s="2"/>
      <c r="CC4" s="2"/>
      <c r="CD4" s="2"/>
      <c r="CE4" s="18"/>
      <c r="CK4" s="995" t="s">
        <v>927</v>
      </c>
      <c r="CL4" s="996"/>
      <c r="CM4" s="996"/>
      <c r="CN4" s="997"/>
    </row>
    <row r="5" spans="1:116" ht="12" customHeight="1" thickBot="1" x14ac:dyDescent="0.25">
      <c r="A5" s="893"/>
      <c r="B5" s="893"/>
      <c r="C5" s="893"/>
      <c r="D5" s="893"/>
      <c r="E5" s="893"/>
      <c r="F5" s="893"/>
      <c r="G5" s="893"/>
      <c r="H5" s="893"/>
      <c r="I5" s="893"/>
      <c r="J5" s="893"/>
      <c r="K5" s="893"/>
      <c r="L5" s="893"/>
      <c r="M5" s="893"/>
      <c r="N5" s="2"/>
      <c r="O5" s="2"/>
      <c r="P5" s="2"/>
      <c r="Q5" s="2"/>
      <c r="R5" s="2"/>
      <c r="S5" s="2"/>
      <c r="T5" s="2"/>
      <c r="U5" s="2"/>
      <c r="V5" s="2"/>
      <c r="W5" s="2"/>
      <c r="X5" s="2"/>
      <c r="Y5" s="2"/>
      <c r="Z5" s="2"/>
      <c r="AA5" s="2"/>
      <c r="AB5" s="2"/>
      <c r="AC5" s="2"/>
      <c r="AD5" s="1014"/>
      <c r="AE5" s="1004"/>
      <c r="AF5" s="1004"/>
      <c r="AG5" s="1004"/>
      <c r="AH5" s="1015"/>
      <c r="AK5" s="2"/>
      <c r="AL5" s="2"/>
      <c r="AM5" s="2"/>
      <c r="AN5" s="2"/>
      <c r="AO5" s="18"/>
      <c r="AZ5" s="1014"/>
      <c r="BA5" s="1004"/>
      <c r="BB5" s="1004"/>
      <c r="BC5" s="1004"/>
      <c r="BD5" s="1015"/>
      <c r="BE5" s="2"/>
      <c r="BF5" s="2"/>
      <c r="BG5" s="2"/>
      <c r="BH5" s="2"/>
      <c r="BI5" s="2"/>
      <c r="BJ5" s="2"/>
      <c r="BK5" s="18"/>
      <c r="BT5" s="1003"/>
      <c r="BU5" s="1004"/>
      <c r="BV5" s="1004"/>
      <c r="BW5" s="1004"/>
      <c r="BX5" s="1005"/>
      <c r="BY5" s="2"/>
      <c r="BZ5" s="2"/>
      <c r="CA5" s="2"/>
      <c r="CB5" s="2"/>
      <c r="CC5" s="2"/>
      <c r="CD5" s="2"/>
      <c r="CE5" s="18"/>
      <c r="CK5" s="606" t="s">
        <v>928</v>
      </c>
      <c r="CL5" s="607"/>
      <c r="CM5" s="608" t="s">
        <v>741</v>
      </c>
      <c r="CN5" s="609" t="s">
        <v>123</v>
      </c>
    </row>
    <row r="6" spans="1:116" ht="12" customHeight="1" x14ac:dyDescent="0.2">
      <c r="A6" s="893"/>
      <c r="B6" s="893"/>
      <c r="C6" s="893"/>
      <c r="D6" s="893"/>
      <c r="E6" s="893"/>
      <c r="F6" s="893"/>
      <c r="G6" s="893"/>
      <c r="H6" s="893"/>
      <c r="I6" s="893"/>
      <c r="J6" s="893"/>
      <c r="K6" s="893"/>
      <c r="L6" s="893"/>
      <c r="M6" s="893"/>
      <c r="N6" s="2"/>
      <c r="O6" s="2"/>
      <c r="P6" s="2"/>
      <c r="Q6" s="2"/>
      <c r="R6" s="2"/>
      <c r="S6" s="2"/>
      <c r="T6" s="2"/>
      <c r="U6" s="2"/>
      <c r="V6" s="2"/>
      <c r="W6" s="2"/>
      <c r="X6" s="2"/>
      <c r="Y6" s="2"/>
      <c r="Z6" s="2"/>
      <c r="AA6" s="2"/>
      <c r="AB6" s="2"/>
      <c r="AC6" s="2"/>
      <c r="AD6" s="95"/>
      <c r="AE6" s="96"/>
      <c r="AF6" s="97" t="s">
        <v>33</v>
      </c>
      <c r="AG6" s="97"/>
      <c r="AH6" s="97"/>
      <c r="AK6" s="2"/>
      <c r="AL6" s="2"/>
      <c r="AM6" s="2"/>
      <c r="AN6" s="2"/>
      <c r="AO6" s="18"/>
      <c r="AZ6" s="95"/>
      <c r="BA6" s="96"/>
      <c r="BB6" s="97" t="s">
        <v>33</v>
      </c>
      <c r="BC6" s="97"/>
      <c r="BD6" s="97"/>
      <c r="BE6" s="2"/>
      <c r="BF6" s="2"/>
      <c r="BG6" s="2"/>
      <c r="BH6" s="2"/>
      <c r="BI6" s="2"/>
      <c r="BJ6" s="2"/>
      <c r="BK6" s="18"/>
      <c r="BT6" s="310"/>
      <c r="BU6" s="96"/>
      <c r="BV6" s="97" t="s">
        <v>33</v>
      </c>
      <c r="BW6" s="97"/>
      <c r="BX6" s="380"/>
      <c r="BY6" s="2"/>
      <c r="BZ6" s="2"/>
      <c r="CA6" s="2"/>
      <c r="CB6" s="2"/>
      <c r="CC6" s="2"/>
      <c r="CD6" s="2"/>
      <c r="CE6" s="18"/>
      <c r="CK6" s="25" t="s">
        <v>929</v>
      </c>
      <c r="CL6" s="162"/>
      <c r="CM6" s="162"/>
      <c r="CN6" s="610"/>
      <c r="CP6" s="592">
        <f>SUM(CP7:CP9)</f>
        <v>600</v>
      </c>
      <c r="CQ6" s="598"/>
      <c r="CR6" s="598"/>
      <c r="CT6" s="592">
        <f t="shared" ref="CT6" si="0">SUM(CT7:CT9)</f>
        <v>650</v>
      </c>
      <c r="CV6" s="592">
        <f t="shared" ref="CV6" si="1">SUM(CV7:CV9)</f>
        <v>750</v>
      </c>
      <c r="CX6" s="592">
        <f t="shared" ref="CX6" si="2">SUM(CX7:CX9)</f>
        <v>850</v>
      </c>
      <c r="CZ6" s="592">
        <f t="shared" ref="CZ6" si="3">SUM(CZ7:CZ9)</f>
        <v>1000</v>
      </c>
      <c r="DB6" s="592">
        <f t="shared" ref="DB6" si="4">SUM(DB7:DB9)</f>
        <v>1200</v>
      </c>
      <c r="DD6" s="592">
        <f t="shared" ref="DD6" si="5">SUM(DD7:DD9)</f>
        <v>1400</v>
      </c>
      <c r="DF6" s="592">
        <f t="shared" ref="DF6" si="6">SUM(DF7:DF9)</f>
        <v>1600</v>
      </c>
      <c r="DH6" s="592">
        <f t="shared" ref="DH6" si="7">SUM(DH7:DH9)</f>
        <v>1800</v>
      </c>
      <c r="DJ6" s="592">
        <f t="shared" ref="DJ6" si="8">SUM(DJ7:DJ9)</f>
        <v>2000</v>
      </c>
      <c r="DL6" s="592">
        <f t="shared" ref="DL6" si="9">SUM(DL7:DL9)</f>
        <v>2400</v>
      </c>
    </row>
    <row r="7" spans="1:116" ht="12" customHeight="1" thickBot="1" x14ac:dyDescent="0.25">
      <c r="A7" s="893"/>
      <c r="B7" s="893"/>
      <c r="C7" s="893"/>
      <c r="D7" s="893"/>
      <c r="E7" s="893"/>
      <c r="F7" s="893"/>
      <c r="G7" s="893"/>
      <c r="H7" s="893"/>
      <c r="I7" s="893"/>
      <c r="J7" s="893"/>
      <c r="K7" s="893"/>
      <c r="L7" s="893"/>
      <c r="M7" s="893"/>
      <c r="N7" s="2"/>
      <c r="O7" s="117"/>
      <c r="P7" s="117"/>
      <c r="Q7" s="117"/>
      <c r="R7" s="117"/>
      <c r="S7" s="117"/>
      <c r="T7" s="117"/>
      <c r="U7" s="414">
        <f>G16+G17+G18</f>
        <v>650</v>
      </c>
      <c r="V7" s="117"/>
      <c r="W7" s="2"/>
      <c r="X7" s="2"/>
      <c r="Y7" s="2"/>
      <c r="Z7" s="2"/>
      <c r="AA7" s="2"/>
      <c r="AB7" s="2"/>
      <c r="AC7" s="2"/>
      <c r="AD7" s="98" t="s">
        <v>121</v>
      </c>
      <c r="AE7" s="99"/>
      <c r="AF7" s="100" t="s">
        <v>122</v>
      </c>
      <c r="AG7" s="100" t="s">
        <v>38</v>
      </c>
      <c r="AH7" s="99" t="s">
        <v>123</v>
      </c>
      <c r="AI7" s="287"/>
      <c r="AK7" s="2"/>
      <c r="AL7" s="2"/>
      <c r="AM7" s="2"/>
      <c r="AN7" s="2"/>
      <c r="AO7" s="18"/>
      <c r="AZ7" s="98" t="s">
        <v>121</v>
      </c>
      <c r="BA7" s="99"/>
      <c r="BB7" s="100" t="s">
        <v>122</v>
      </c>
      <c r="BC7" s="100" t="s">
        <v>38</v>
      </c>
      <c r="BD7" s="99" t="s">
        <v>123</v>
      </c>
      <c r="BE7" s="2"/>
      <c r="BF7" s="2"/>
      <c r="BG7" s="2"/>
      <c r="BH7" s="2"/>
      <c r="BI7" s="2"/>
      <c r="BJ7" s="2"/>
      <c r="BK7" s="18"/>
      <c r="BT7" s="312" t="s">
        <v>121</v>
      </c>
      <c r="BU7" s="99"/>
      <c r="BV7" s="100" t="s">
        <v>122</v>
      </c>
      <c r="BW7" s="100" t="s">
        <v>38</v>
      </c>
      <c r="BX7" s="313" t="s">
        <v>123</v>
      </c>
      <c r="BY7" s="2"/>
      <c r="BZ7" s="2"/>
      <c r="CA7" s="2"/>
      <c r="CB7" s="2"/>
      <c r="CC7" s="2"/>
      <c r="CD7" s="2"/>
      <c r="CE7" s="18"/>
      <c r="CK7" s="54"/>
      <c r="CL7" s="22" t="s">
        <v>930</v>
      </c>
      <c r="CM7" s="50">
        <v>277</v>
      </c>
      <c r="CN7" s="611"/>
      <c r="CP7" s="593">
        <f>CP10/13*6</f>
        <v>276.92307692307691</v>
      </c>
      <c r="CQ7" s="599"/>
      <c r="CR7" s="599"/>
      <c r="CT7" s="593">
        <f>CT10/13*6</f>
        <v>300</v>
      </c>
      <c r="CV7" s="593">
        <f>CV10/13*6</f>
        <v>346.15384615384619</v>
      </c>
      <c r="CX7" s="593">
        <f>CX10/13*6</f>
        <v>392.30769230769232</v>
      </c>
      <c r="CZ7" s="593">
        <f>CZ10/13*6</f>
        <v>461.53846153846155</v>
      </c>
      <c r="DB7" s="593">
        <f>DB10/13*6</f>
        <v>553.84615384615381</v>
      </c>
      <c r="DD7" s="593">
        <f>DD10/13*6</f>
        <v>646.15384615384619</v>
      </c>
      <c r="DF7" s="593">
        <f>DF10/13*6</f>
        <v>738.46153846153845</v>
      </c>
      <c r="DH7" s="593">
        <f>DH10/13*6</f>
        <v>830.76923076923072</v>
      </c>
      <c r="DJ7" s="593">
        <f>DJ10/13*6</f>
        <v>923.07692307692309</v>
      </c>
      <c r="DL7" s="593">
        <f>DL10/13*6</f>
        <v>1107.6923076923076</v>
      </c>
    </row>
    <row r="8" spans="1:116" ht="12" customHeight="1" x14ac:dyDescent="0.2">
      <c r="A8" s="893"/>
      <c r="B8" s="893"/>
      <c r="C8" s="893"/>
      <c r="D8" s="893"/>
      <c r="E8" s="893"/>
      <c r="F8" s="893"/>
      <c r="G8" s="893"/>
      <c r="H8" s="893"/>
      <c r="I8" s="893"/>
      <c r="J8" s="893"/>
      <c r="K8" s="893"/>
      <c r="L8" s="893"/>
      <c r="M8" s="893"/>
      <c r="N8" s="2"/>
      <c r="O8" s="117"/>
      <c r="P8" s="117"/>
      <c r="Q8" s="117"/>
      <c r="R8" s="117"/>
      <c r="S8" s="117"/>
      <c r="T8" s="117"/>
      <c r="U8" s="415"/>
      <c r="V8" s="117"/>
      <c r="W8" s="2"/>
      <c r="X8" s="2"/>
      <c r="Y8" s="2"/>
      <c r="Z8" s="2"/>
      <c r="AA8" s="2"/>
      <c r="AB8" s="2"/>
      <c r="AC8" s="2"/>
      <c r="AD8" s="101" t="s">
        <v>553</v>
      </c>
      <c r="AE8" s="416" t="s">
        <v>562</v>
      </c>
      <c r="AF8" s="288">
        <v>1</v>
      </c>
      <c r="AG8" s="390">
        <f>IF($G$18=0,0,(IF($G$18&lt;=450,AF34,(IF($G$18&lt;=800,AF35,(IF($G$18&lt;=1200,AF36,(IF($G$18&lt;=1600,AF37,(IF($G$18&gt;1600,AF38)))))))))))</f>
        <v>10800</v>
      </c>
      <c r="AH8" s="104">
        <f t="shared" ref="AH8:AH14" si="10">AF8*AG8</f>
        <v>10800</v>
      </c>
      <c r="AK8" s="2"/>
      <c r="AL8" s="2"/>
      <c r="AM8" s="2"/>
      <c r="AN8" s="2"/>
      <c r="AO8" s="18"/>
      <c r="AZ8" s="101" t="s">
        <v>442</v>
      </c>
      <c r="BA8" s="22" t="s">
        <v>452</v>
      </c>
      <c r="BB8" s="102">
        <v>1</v>
      </c>
      <c r="BC8" s="103">
        <f>IF($G$17=0,0,IF($G$17&lt;=450,BB29,(IF($G$17&lt;=600,BB30,(IF($G$17&lt;=750,BB31,(IF($G$17&lt;=1000,BB32,(IF($G$17&lt;=1500,BB33,(IF($G$17&gt;1500,BB34))))))))))))</f>
        <v>13500</v>
      </c>
      <c r="BD8" s="104">
        <f t="shared" ref="BD8:BD17" si="11">BB8*BC8</f>
        <v>13500</v>
      </c>
      <c r="BE8" s="2"/>
      <c r="BF8" s="2"/>
      <c r="BG8" s="2"/>
      <c r="BH8" s="2"/>
      <c r="BI8" s="2"/>
      <c r="BJ8" s="2"/>
      <c r="BK8" s="18"/>
      <c r="BL8" s="2"/>
      <c r="BT8" s="317" t="s">
        <v>244</v>
      </c>
      <c r="BU8" s="22" t="s">
        <v>245</v>
      </c>
      <c r="BV8" s="102">
        <v>1</v>
      </c>
      <c r="BW8" s="103">
        <f>IF($G$16=0,0,IF($G$16&lt;=400,BV31,(IF($G$16&lt;=550,BV32,(IF($G$16&lt;=700,BV33,(IF($G$16&lt;=1000,BV34,(IF($G$16&lt;=1500,BV35,(IF($G$16&gt;1500,BV36))))))))))))</f>
        <v>1200</v>
      </c>
      <c r="BX8" s="315">
        <f t="shared" ref="BX8:BX16" si="12">BV8*BW8</f>
        <v>1200</v>
      </c>
      <c r="BY8" s="2"/>
      <c r="BZ8" s="2"/>
      <c r="CA8" s="2"/>
      <c r="CB8" s="2"/>
      <c r="CC8" s="2"/>
      <c r="CD8" s="2"/>
      <c r="CE8" s="18"/>
      <c r="CK8" s="54"/>
      <c r="CL8" s="22" t="s">
        <v>931</v>
      </c>
      <c r="CM8" s="612">
        <v>150</v>
      </c>
      <c r="CN8" s="611"/>
      <c r="CP8" s="593">
        <f>CP10/13*3</f>
        <v>138.46153846153845</v>
      </c>
      <c r="CQ8" s="599"/>
      <c r="CR8" s="599"/>
      <c r="CT8" s="593">
        <f>CT10/13*3</f>
        <v>150</v>
      </c>
      <c r="CV8" s="593">
        <f>CV10/13*3</f>
        <v>173.07692307692309</v>
      </c>
      <c r="CX8" s="593">
        <f>CX10/13*3</f>
        <v>196.15384615384616</v>
      </c>
      <c r="CZ8" s="593">
        <f>CZ10/13*3</f>
        <v>230.76923076923077</v>
      </c>
      <c r="DB8" s="593">
        <f>DB10/13*3</f>
        <v>276.92307692307691</v>
      </c>
      <c r="DD8" s="593">
        <f>DD10/13*3</f>
        <v>323.07692307692309</v>
      </c>
      <c r="DF8" s="593">
        <f>DF10/13*3</f>
        <v>369.23076923076923</v>
      </c>
      <c r="DH8" s="593">
        <f>DH10/13*3</f>
        <v>415.38461538461536</v>
      </c>
      <c r="DJ8" s="593">
        <f>DJ10/13*3</f>
        <v>461.53846153846155</v>
      </c>
      <c r="DL8" s="593">
        <f>DL10/13*3</f>
        <v>553.84615384615381</v>
      </c>
    </row>
    <row r="9" spans="1:116" ht="12" customHeight="1" x14ac:dyDescent="0.2">
      <c r="A9" s="14"/>
      <c r="B9" s="14"/>
      <c r="C9" s="15"/>
      <c r="D9" s="16"/>
      <c r="E9" s="16"/>
      <c r="F9" s="16"/>
      <c r="G9" s="16"/>
      <c r="H9" s="16"/>
      <c r="I9" s="16"/>
      <c r="J9" s="2"/>
      <c r="K9" s="2"/>
      <c r="L9" s="2"/>
      <c r="M9" s="2"/>
      <c r="N9" s="2"/>
      <c r="O9" s="117"/>
      <c r="P9" s="117"/>
      <c r="Q9" s="117"/>
      <c r="R9" s="117"/>
      <c r="S9" s="117"/>
      <c r="T9" s="117"/>
      <c r="U9" s="415"/>
      <c r="V9" s="117"/>
      <c r="W9" s="2"/>
      <c r="X9" s="2"/>
      <c r="Y9" s="2"/>
      <c r="Z9" s="2"/>
      <c r="AA9" s="2"/>
      <c r="AB9" s="2"/>
      <c r="AC9" s="2"/>
      <c r="AD9" s="105" t="s">
        <v>554</v>
      </c>
      <c r="AE9" s="49" t="s">
        <v>577</v>
      </c>
      <c r="AF9" s="289">
        <v>1</v>
      </c>
      <c r="AG9" s="390">
        <f>IF($G$18=0,0,IF($G$18&lt;=450,AG34,(IF($G$18&lt;=800,AG35,(IF($G$18&lt;=1200,AG36,(IF($G$18&lt;=1600,AG37,(IF($G$18&gt;1600,AG38))))))))))</f>
        <v>1200</v>
      </c>
      <c r="AH9" s="104">
        <f t="shared" si="10"/>
        <v>1200</v>
      </c>
      <c r="AI9" s="2"/>
      <c r="AJ9" s="2"/>
      <c r="AK9" s="2"/>
      <c r="AL9" s="2"/>
      <c r="AM9" s="2"/>
      <c r="AN9" s="2"/>
      <c r="AO9" s="18"/>
      <c r="AZ9" s="105" t="s">
        <v>443</v>
      </c>
      <c r="BA9" s="22" t="s">
        <v>453</v>
      </c>
      <c r="BB9" s="102">
        <v>1</v>
      </c>
      <c r="BC9" s="103">
        <f>IF($G$17=0,0,IF($G$17&lt;=450,BC29,(IF($G$17&lt;=600,BC30,(IF($G$17&lt;=750,BC31,(IF($G$17&lt;=1000,BC32,(IF($G$17&lt;=1500,BC33,(IF($G$17&gt;1500,BC34))))))))))))</f>
        <v>3300</v>
      </c>
      <c r="BD9" s="104">
        <f t="shared" si="11"/>
        <v>3300</v>
      </c>
      <c r="BE9" s="2"/>
      <c r="BF9" s="2"/>
      <c r="BG9" s="2"/>
      <c r="BH9" s="2"/>
      <c r="BI9" s="2"/>
      <c r="BJ9" s="2"/>
      <c r="BK9" s="18"/>
      <c r="BL9" s="2"/>
      <c r="BM9" s="2"/>
      <c r="BN9" s="2"/>
      <c r="BO9" s="2"/>
      <c r="BP9" s="2"/>
      <c r="BQ9" s="2"/>
      <c r="BT9" s="314" t="s">
        <v>244</v>
      </c>
      <c r="BU9" s="22" t="s">
        <v>246</v>
      </c>
      <c r="BV9" s="102">
        <v>1</v>
      </c>
      <c r="BW9" s="103">
        <f>IF($G$16=0,0,IF($G$16&lt;=400,BW31,(IF($G$16&lt;=550,BW32,(IF($G$16&lt;=700,BW33,(IF($G$16&lt;=1000,BW34,(IF($G$16&lt;=1500,BW35,(IF($G$16&gt;1500,BW36))))))))))))</f>
        <v>1200</v>
      </c>
      <c r="BX9" s="315">
        <f>BV9*BW9</f>
        <v>1200</v>
      </c>
      <c r="BY9" s="2"/>
      <c r="BZ9" s="2"/>
      <c r="CA9" s="2"/>
      <c r="CB9" s="2"/>
      <c r="CC9" s="2"/>
      <c r="CD9" s="2"/>
      <c r="CE9" s="18"/>
      <c r="CK9" s="54"/>
      <c r="CL9" s="22" t="s">
        <v>932</v>
      </c>
      <c r="CM9" s="50">
        <v>200</v>
      </c>
      <c r="CN9" s="611"/>
      <c r="CP9" s="593">
        <f>CP10/13*4</f>
        <v>184.61538461538461</v>
      </c>
      <c r="CQ9" s="599"/>
      <c r="CR9" s="599"/>
      <c r="CT9" s="593">
        <f>CT10/13*4</f>
        <v>200</v>
      </c>
      <c r="CV9" s="593">
        <f>CV10/13*4</f>
        <v>230.76923076923077</v>
      </c>
      <c r="CX9" s="593">
        <f>CX10/13*4</f>
        <v>261.53846153846155</v>
      </c>
      <c r="CZ9" s="593">
        <f>CZ10/13*4</f>
        <v>307.69230769230768</v>
      </c>
      <c r="DB9" s="593">
        <f>DB10/13*4</f>
        <v>369.23076923076923</v>
      </c>
      <c r="DD9" s="593">
        <f>DD10/13*4</f>
        <v>430.76923076923077</v>
      </c>
      <c r="DF9" s="593">
        <f>DF10/13*4</f>
        <v>492.30769230769232</v>
      </c>
      <c r="DH9" s="593">
        <f>DH10/13*4</f>
        <v>553.84615384615381</v>
      </c>
      <c r="DJ9" s="593">
        <f>DJ10/13*4</f>
        <v>615.38461538461536</v>
      </c>
      <c r="DL9" s="593">
        <f>DL10/13*4</f>
        <v>738.46153846153845</v>
      </c>
    </row>
    <row r="10" spans="1:116" ht="12" customHeight="1" x14ac:dyDescent="0.2">
      <c r="A10" s="2"/>
      <c r="B10" s="2"/>
      <c r="C10" s="1016" t="s">
        <v>828</v>
      </c>
      <c r="D10" s="1016"/>
      <c r="E10" s="1016"/>
      <c r="F10" s="1016"/>
      <c r="G10" s="1016"/>
      <c r="H10" s="1016"/>
      <c r="I10" s="2"/>
      <c r="J10" s="2"/>
      <c r="K10" s="2"/>
      <c r="L10" s="2"/>
      <c r="M10" s="2"/>
      <c r="N10" s="2"/>
      <c r="O10" s="117"/>
      <c r="P10" s="117"/>
      <c r="Q10" s="117"/>
      <c r="R10" s="117"/>
      <c r="S10" s="117"/>
      <c r="T10" s="117"/>
      <c r="U10" s="415"/>
      <c r="V10" s="117"/>
      <c r="W10" s="2"/>
      <c r="X10" s="2"/>
      <c r="Y10" s="2"/>
      <c r="Z10" s="2"/>
      <c r="AA10" s="2"/>
      <c r="AB10" s="2"/>
      <c r="AC10" s="2"/>
      <c r="AD10" s="105" t="s">
        <v>555</v>
      </c>
      <c r="AE10" s="49" t="s">
        <v>578</v>
      </c>
      <c r="AF10" s="289">
        <v>1</v>
      </c>
      <c r="AG10" s="390">
        <f>IF($G$18=0,0,IF($G$18&lt;=450,AH34,(IF($G$18&lt;=800,AH35,(IF($G$18&lt;=1200,AH36,(IF($G$18&lt;=1600,AH37,(IF($G$18&gt;1600,AH38))))))))))</f>
        <v>1200</v>
      </c>
      <c r="AH10" s="104">
        <f t="shared" si="10"/>
        <v>1200</v>
      </c>
      <c r="AI10" s="2"/>
      <c r="AJ10" s="2"/>
      <c r="AK10" s="2"/>
      <c r="AL10" s="2"/>
      <c r="AM10" s="2"/>
      <c r="AN10" s="2"/>
      <c r="AO10" s="18"/>
      <c r="AZ10" s="105" t="s">
        <v>444</v>
      </c>
      <c r="BA10" s="22" t="s">
        <v>454</v>
      </c>
      <c r="BB10" s="102">
        <v>1</v>
      </c>
      <c r="BC10" s="103">
        <f>IF($G$17=0,0,IF($G$17&lt;=450,BD29,(IF($G$17&lt;=600,BD30,(IF($G$17&lt;=750,BD31,(IF($G$17&lt;=1000,BD32,(IF($G$17&lt;=1500,BD33,(IF($G$17&gt;1500,BD34))))))))))))</f>
        <v>1000</v>
      </c>
      <c r="BD10" s="104">
        <f t="shared" si="11"/>
        <v>1000</v>
      </c>
      <c r="BE10" s="2"/>
      <c r="BF10" s="2"/>
      <c r="BG10" s="2"/>
      <c r="BH10" s="2"/>
      <c r="BI10" s="2"/>
      <c r="BJ10" s="2"/>
      <c r="BK10" s="18"/>
      <c r="BL10" s="2"/>
      <c r="BM10" s="2"/>
      <c r="BN10" s="2"/>
      <c r="BO10" s="2"/>
      <c r="BP10" s="2"/>
      <c r="BQ10" s="2"/>
      <c r="BT10" s="314" t="s">
        <v>247</v>
      </c>
      <c r="BU10" s="22" t="s">
        <v>248</v>
      </c>
      <c r="BV10" s="102">
        <v>1</v>
      </c>
      <c r="BW10" s="103">
        <f>IF($G$16=0,0,IF($G$16&lt;=400,BX31,(IF($G$16&lt;=550,BX32,(IF($G$16&lt;=700,BX33,(IF($G$16&lt;=1000,BX34,(IF($G$16&lt;=1500,BX35,(IF($G$16&gt;1500,BX36))))))))))))</f>
        <v>60</v>
      </c>
      <c r="BX10" s="315">
        <f t="shared" si="12"/>
        <v>60</v>
      </c>
      <c r="BY10" s="2"/>
      <c r="BZ10" s="2"/>
      <c r="CA10" s="2"/>
      <c r="CB10" s="2"/>
      <c r="CC10" s="2"/>
      <c r="CD10" s="2"/>
      <c r="CE10" s="18"/>
      <c r="CF10" s="2"/>
      <c r="CG10" s="2"/>
      <c r="CH10" s="2"/>
      <c r="CI10" s="2"/>
      <c r="CJ10" s="2"/>
      <c r="CK10" s="54"/>
      <c r="CL10" s="22" t="s">
        <v>933</v>
      </c>
      <c r="CM10" s="613">
        <v>650</v>
      </c>
      <c r="CN10" s="611"/>
      <c r="CP10" s="588">
        <v>600</v>
      </c>
      <c r="CQ10" s="600"/>
      <c r="CR10" s="600"/>
      <c r="CT10" s="588">
        <v>650</v>
      </c>
      <c r="CV10" s="588">
        <v>750</v>
      </c>
      <c r="CX10" s="588">
        <v>850</v>
      </c>
      <c r="CZ10" s="588">
        <v>1000</v>
      </c>
      <c r="DB10" s="588">
        <v>1200</v>
      </c>
      <c r="DD10" s="588">
        <v>1400</v>
      </c>
      <c r="DF10" s="588">
        <v>1600</v>
      </c>
      <c r="DH10" s="588">
        <v>1800</v>
      </c>
      <c r="DJ10" s="588">
        <v>2000</v>
      </c>
      <c r="DL10" s="588">
        <v>2400</v>
      </c>
    </row>
    <row r="11" spans="1:116" ht="12" customHeight="1" x14ac:dyDescent="0.2">
      <c r="A11" s="2"/>
      <c r="B11" s="2"/>
      <c r="C11" s="902" t="s">
        <v>180</v>
      </c>
      <c r="D11" s="902"/>
      <c r="E11" s="902"/>
      <c r="F11" s="902"/>
      <c r="G11" s="902"/>
      <c r="H11" s="902"/>
      <c r="I11" s="2"/>
      <c r="J11" s="2"/>
      <c r="K11" s="913" t="s">
        <v>181</v>
      </c>
      <c r="L11" s="913"/>
      <c r="M11" s="913"/>
      <c r="N11" s="2"/>
      <c r="O11" s="117"/>
      <c r="P11" s="117"/>
      <c r="Q11" s="117"/>
      <c r="R11" s="117"/>
      <c r="S11" s="117"/>
      <c r="T11" s="117"/>
      <c r="U11" s="415"/>
      <c r="V11" s="117"/>
      <c r="W11" s="2"/>
      <c r="X11" s="2"/>
      <c r="Y11" s="2"/>
      <c r="Z11" s="2"/>
      <c r="AA11" s="2"/>
      <c r="AB11" s="2"/>
      <c r="AC11" s="2"/>
      <c r="AD11" s="105" t="s">
        <v>556</v>
      </c>
      <c r="AE11" s="49" t="s">
        <v>579</v>
      </c>
      <c r="AF11" s="289">
        <v>1</v>
      </c>
      <c r="AG11" s="390">
        <f>IF($G$18=0,0,IF($G$18&lt;=450,AI34,(IF($G$18&lt;=800,AI35,(IF($G$18&lt;=1200,AI36,(IF($G$18&lt;=1600,AI37,(IF($G$18&gt;1600,AI38))))))))))</f>
        <v>1200</v>
      </c>
      <c r="AH11" s="104">
        <f t="shared" si="10"/>
        <v>1200</v>
      </c>
      <c r="AI11" s="2"/>
      <c r="AJ11" s="2"/>
      <c r="AK11" s="2"/>
      <c r="AL11" s="2"/>
      <c r="AM11" s="2"/>
      <c r="AN11" s="2"/>
      <c r="AO11" s="18"/>
      <c r="AZ11" s="105" t="s">
        <v>445</v>
      </c>
      <c r="BA11" s="22" t="s">
        <v>255</v>
      </c>
      <c r="BB11" s="102">
        <v>1</v>
      </c>
      <c r="BC11" s="103">
        <f>IF($G$17=0,0,IF($G$17&lt;=450,BE29,(IF($G$17&lt;=600,BE30,(IF($G$17&lt;=750,BE31,(IF($G$17&lt;=1000,BE32,(IF($G$17&lt;=1500,BE33,(IF($G$17&gt;1500,BE34))))))))))))</f>
        <v>900</v>
      </c>
      <c r="BD11" s="104">
        <f t="shared" si="11"/>
        <v>900</v>
      </c>
      <c r="BE11" s="2"/>
      <c r="BF11" s="2"/>
      <c r="BG11" s="2"/>
      <c r="BH11" s="2"/>
      <c r="BI11" s="2"/>
      <c r="BJ11" s="2"/>
      <c r="BK11" s="18"/>
      <c r="BL11" s="2"/>
      <c r="BM11" s="2"/>
      <c r="BN11" s="2"/>
      <c r="BO11" s="2"/>
      <c r="BP11" s="2"/>
      <c r="BQ11" s="2"/>
      <c r="BT11" s="314" t="s">
        <v>247</v>
      </c>
      <c r="BU11" s="22" t="s">
        <v>249</v>
      </c>
      <c r="BV11" s="102">
        <v>1</v>
      </c>
      <c r="BW11" s="103">
        <f>IF($G$16=0,0,IF($G$16&lt;=400,BY31,(IF($G$16&lt;=550,BY32,(IF($G$16&lt;=700,BY33,(IF($G$16&lt;=1000,BY34,(IF($G$16&lt;=1500,BY35,(IF($G$16&gt;1500,BY36))))))))))))</f>
        <v>60</v>
      </c>
      <c r="BX11" s="315">
        <f>BV11*BW11</f>
        <v>60</v>
      </c>
      <c r="BY11" s="2"/>
      <c r="BZ11" s="2"/>
      <c r="CA11" s="2"/>
      <c r="CB11" s="2"/>
      <c r="CC11" s="2"/>
      <c r="CD11" s="2"/>
      <c r="CE11" s="18"/>
      <c r="CF11" s="2"/>
      <c r="CG11" s="2"/>
      <c r="CH11" s="2"/>
      <c r="CI11" s="2"/>
      <c r="CJ11" s="2"/>
      <c r="CK11" s="614" t="s">
        <v>746</v>
      </c>
      <c r="CL11" s="162"/>
      <c r="CM11" s="615"/>
      <c r="CN11" s="616"/>
    </row>
    <row r="12" spans="1:116" ht="12" customHeight="1" x14ac:dyDescent="0.2">
      <c r="A12" s="2"/>
      <c r="B12" s="2"/>
      <c r="C12" s="902"/>
      <c r="D12" s="902"/>
      <c r="E12" s="902"/>
      <c r="F12" s="902"/>
      <c r="G12" s="902"/>
      <c r="H12" s="902"/>
      <c r="I12" s="2"/>
      <c r="J12" s="2"/>
      <c r="K12" s="913"/>
      <c r="L12" s="913"/>
      <c r="M12" s="913"/>
      <c r="N12" s="2"/>
      <c r="O12" s="117"/>
      <c r="P12" s="117"/>
      <c r="Q12" s="117"/>
      <c r="R12" s="117"/>
      <c r="S12" s="117"/>
      <c r="T12" s="117"/>
      <c r="U12" s="417">
        <f>IF(AND(G17,G18)=0,0,IF((G17+G18)&lt;=350,((G17+G18)*180),IF((G17+G18)&gt;=1400,((G17+G18)*155.3571),IF((G17+G18)&lt;=700,(141.429*(G17+G18))+13499.7,(150*(G17+G18))+7500))))</f>
        <v>63000</v>
      </c>
      <c r="V12" s="418" t="s">
        <v>752</v>
      </c>
      <c r="W12" s="2"/>
      <c r="X12" s="2"/>
      <c r="Y12" s="2"/>
      <c r="Z12" s="2"/>
      <c r="AA12" s="2"/>
      <c r="AB12" s="2"/>
      <c r="AC12" s="2"/>
      <c r="AD12" s="105" t="s">
        <v>557</v>
      </c>
      <c r="AE12" s="49" t="s">
        <v>580</v>
      </c>
      <c r="AF12" s="187">
        <v>1</v>
      </c>
      <c r="AG12" s="390">
        <f>IF($G$18=0,0,IF($G$18&lt;=450,AJ34,(IF($G$18&lt;=800,AJ35,(IF($G$18&lt;=1200,AJ36,(IF($G$18&lt;=1600,AJ37,(IF($G$18&gt;1600,AJ38))))))))))</f>
        <v>300</v>
      </c>
      <c r="AH12" s="104">
        <f t="shared" si="10"/>
        <v>300</v>
      </c>
      <c r="AI12" s="2"/>
      <c r="AJ12" s="2"/>
      <c r="AK12" s="2"/>
      <c r="AL12" s="2"/>
      <c r="AM12" s="2"/>
      <c r="AN12" s="2"/>
      <c r="AO12" s="18"/>
      <c r="AZ12" s="105" t="s">
        <v>446</v>
      </c>
      <c r="BA12" s="22" t="s">
        <v>257</v>
      </c>
      <c r="BB12" s="106">
        <v>1</v>
      </c>
      <c r="BC12" s="103">
        <f>IF($G$17=0,0,IF($G$17&lt;=450,BF29,(IF($G$17&lt;=600,BF30,(IF($G$17&lt;=750,BF31,(IF($G$17&lt;=1000,BF32,(IF($G$17&lt;=1500,BF33,(IF($G$17&gt;1500,BF34))))))))))))</f>
        <v>180</v>
      </c>
      <c r="BD12" s="104">
        <f t="shared" si="11"/>
        <v>180</v>
      </c>
      <c r="BE12" s="2"/>
      <c r="BF12" s="2"/>
      <c r="BG12" s="2"/>
      <c r="BH12" s="2"/>
      <c r="BI12" s="2"/>
      <c r="BJ12" s="2"/>
      <c r="BK12" s="18"/>
      <c r="BL12" s="2"/>
      <c r="BM12" s="2"/>
      <c r="BN12" s="2"/>
      <c r="BO12" s="2"/>
      <c r="BP12" s="2"/>
      <c r="BQ12" s="2"/>
      <c r="BT12" s="314" t="s">
        <v>250</v>
      </c>
      <c r="BU12" s="22" t="s">
        <v>251</v>
      </c>
      <c r="BV12" s="106">
        <v>1</v>
      </c>
      <c r="BW12" s="103">
        <f>IF($G$16=0,0,IF($G$16&lt;=400,BZ31,(IF($G$16&lt;=550,BZ32,(IF($G$16&lt;=700,BZ33,(IF($G$16&lt;=1000,BZ34,(IF($G$16&lt;=1500,BZ35,(IF($G$16&gt;1500,BZ36))))))))))))</f>
        <v>9000</v>
      </c>
      <c r="BX12" s="315">
        <f t="shared" si="12"/>
        <v>9000</v>
      </c>
      <c r="BY12" s="2"/>
      <c r="BZ12" s="2"/>
      <c r="CA12" s="2"/>
      <c r="CB12" s="2"/>
      <c r="CC12" s="2"/>
      <c r="CD12" s="2"/>
      <c r="CE12" s="18"/>
      <c r="CF12" s="2"/>
      <c r="CG12" s="2"/>
      <c r="CH12" s="2"/>
      <c r="CI12" s="2"/>
      <c r="CJ12" s="2"/>
      <c r="CK12" s="54"/>
      <c r="CL12" s="22" t="s">
        <v>934</v>
      </c>
      <c r="CM12" s="22">
        <v>134.18666666666667</v>
      </c>
      <c r="CN12" s="617">
        <v>40256</v>
      </c>
      <c r="CO12" s="518">
        <v>136.72750000000002</v>
      </c>
      <c r="CP12" s="518">
        <v>37863</v>
      </c>
      <c r="CQ12" s="518"/>
      <c r="CR12" s="518"/>
      <c r="CS12" s="596">
        <v>134.18666666666667</v>
      </c>
      <c r="CT12" s="589">
        <v>40256</v>
      </c>
    </row>
    <row r="13" spans="1:116" ht="12" customHeight="1" x14ac:dyDescent="0.2">
      <c r="A13" s="2"/>
      <c r="B13" s="2"/>
      <c r="C13" s="2"/>
      <c r="D13" s="2"/>
      <c r="E13" s="15"/>
      <c r="F13" s="15"/>
      <c r="G13" s="15"/>
      <c r="H13" s="15"/>
      <c r="I13" s="2"/>
      <c r="J13" s="2"/>
      <c r="K13" s="2"/>
      <c r="L13" s="2"/>
      <c r="M13" s="2"/>
      <c r="N13" s="2"/>
      <c r="O13" s="117"/>
      <c r="P13" s="117"/>
      <c r="Q13" s="117"/>
      <c r="R13" s="117"/>
      <c r="S13" s="117"/>
      <c r="T13" s="117"/>
      <c r="U13" s="419">
        <f>IF(OR(U7=0,U7=""),"",IF(U7&gt;=950,(U7*135.208)+4251.1,IF(AND(U7&gt;=350,U7&lt;=500),(121.225*U7)+23981,IF(AND(U7&gt;500,U7&lt;=650),(U7*122.684)+23471,IF(AND(U7&gt;650,U7&lt;=800),(U7*90.8135)+44186,IF(U7&lt;350,(U7*190),(105.75*U7)+32240))))))</f>
        <v>103215.59999999999</v>
      </c>
      <c r="V13" s="420" t="s">
        <v>753</v>
      </c>
      <c r="W13" s="2"/>
      <c r="X13" s="2"/>
      <c r="Y13" s="2"/>
      <c r="Z13" s="2"/>
      <c r="AA13" s="2"/>
      <c r="AB13" s="2"/>
      <c r="AC13" s="2"/>
      <c r="AD13" s="105" t="s">
        <v>558</v>
      </c>
      <c r="AE13" s="49" t="s">
        <v>255</v>
      </c>
      <c r="AF13" s="187">
        <v>1</v>
      </c>
      <c r="AG13" s="390">
        <f>IF($G$18=0,0,IF($G$18&lt;=450,AK34,(IF($G$18&lt;=800,AK35,(IF($G$18&lt;=1200,AK36,(IF($G$18&lt;=1600,AK37,(IF($G$18&gt;1600,AK38))))))))))</f>
        <v>1200</v>
      </c>
      <c r="AH13" s="104">
        <f t="shared" si="10"/>
        <v>1200</v>
      </c>
      <c r="AI13" s="2"/>
      <c r="AJ13" s="2"/>
      <c r="AK13" s="2"/>
      <c r="AL13" s="2"/>
      <c r="AM13" s="2"/>
      <c r="AN13" s="2"/>
      <c r="AO13" s="18"/>
      <c r="AP13" s="2"/>
      <c r="AZ13" s="105" t="s">
        <v>447</v>
      </c>
      <c r="BA13" s="22" t="s">
        <v>259</v>
      </c>
      <c r="BB13" s="106">
        <v>1</v>
      </c>
      <c r="BC13" s="103">
        <f>IF($G$17=0,0,IF($G$17&lt;=450,BG29,(IF($G$17&lt;=600,BG30,(IF($G$17&lt;=750,BG31,(IF($G$17&lt;=1000,BG32,(IF($G$17&lt;=1500,BG33,(IF($G$17&gt;1500,BG34))))))))))))</f>
        <v>600</v>
      </c>
      <c r="BD13" s="104">
        <f t="shared" si="11"/>
        <v>600</v>
      </c>
      <c r="BE13" s="2"/>
      <c r="BF13" s="2"/>
      <c r="BG13" s="2"/>
      <c r="BH13" s="2"/>
      <c r="BI13" s="2"/>
      <c r="BJ13" s="2"/>
      <c r="BK13" s="18"/>
      <c r="BL13" s="2"/>
      <c r="BM13" s="2"/>
      <c r="BN13" s="2"/>
      <c r="BO13" s="2"/>
      <c r="BP13" s="2"/>
      <c r="BQ13" s="2"/>
      <c r="BT13" s="314" t="s">
        <v>252</v>
      </c>
      <c r="BU13" s="22" t="s">
        <v>253</v>
      </c>
      <c r="BV13" s="106">
        <v>1</v>
      </c>
      <c r="BW13" s="103">
        <f>IF($G$16=0,0,IF($G$16&lt;=400,CA31,(IF($G$16&lt;=550,CA32,(IF($G$16&lt;=700,CA33,(IF($G$16&lt;=1000,CA34,(IF($G$16&lt;=1500,CA35,(IF($G$16&gt;1500,CA36))))))))))))</f>
        <v>0</v>
      </c>
      <c r="BX13" s="315">
        <f>BV13*BW13</f>
        <v>0</v>
      </c>
      <c r="BY13" s="2"/>
      <c r="BZ13" s="2"/>
      <c r="CA13" s="2"/>
      <c r="CB13" s="2"/>
      <c r="CC13" s="2"/>
      <c r="CD13" s="2"/>
      <c r="CE13" s="18"/>
      <c r="CF13" s="2"/>
      <c r="CG13" s="2"/>
      <c r="CH13" s="2"/>
      <c r="CI13" s="2"/>
      <c r="CJ13" s="2"/>
      <c r="CK13" s="54"/>
      <c r="CL13" s="22" t="s">
        <v>935</v>
      </c>
      <c r="CM13" s="22">
        <v>162.09333333333333</v>
      </c>
      <c r="CN13" s="617">
        <v>24314</v>
      </c>
      <c r="CO13" s="518">
        <v>165.16500000000002</v>
      </c>
      <c r="CP13" s="518">
        <v>22869</v>
      </c>
      <c r="CQ13" s="518"/>
      <c r="CR13" s="518"/>
      <c r="CS13" s="596">
        <v>162.09333333333333</v>
      </c>
      <c r="CT13" s="589">
        <v>24314</v>
      </c>
    </row>
    <row r="14" spans="1:116" s="2" customFormat="1" ht="12" customHeight="1" x14ac:dyDescent="0.2">
      <c r="E14" s="15"/>
      <c r="F14" s="20" t="s">
        <v>45</v>
      </c>
      <c r="G14" s="903" t="s">
        <v>741</v>
      </c>
      <c r="H14" s="904"/>
      <c r="I14" s="768" t="s">
        <v>376</v>
      </c>
      <c r="K14" s="914" t="str">
        <f>G14</f>
        <v>K-12</v>
      </c>
      <c r="L14" s="915"/>
      <c r="M14" s="916"/>
      <c r="O14" s="117"/>
      <c r="P14" s="117"/>
      <c r="Q14" s="117"/>
      <c r="R14" s="117"/>
      <c r="S14" s="117"/>
      <c r="T14" s="117"/>
      <c r="U14" s="417">
        <f>IF((G16+G17)&lt;=350,((G16+G17)*151),IF((G16+G17)&gt;=1200,((G16+G17)*125),IF((G16+G17)&lt;=700,(104.309*(G16+G17))+16341.7,(121.284*(G16+G17))+4459.2)))</f>
        <v>63280.75</v>
      </c>
      <c r="V14" s="420" t="s">
        <v>754</v>
      </c>
      <c r="AD14" s="105" t="s">
        <v>559</v>
      </c>
      <c r="AE14" s="49" t="s">
        <v>257</v>
      </c>
      <c r="AF14" s="187">
        <v>1</v>
      </c>
      <c r="AG14" s="390">
        <f>IF($G$18=0,0,IF($G$18&lt;=450,AL34,(IF($G$18&lt;=800,AL35,(IF($G$18&lt;=1200,AL36,(IF($G$18&lt;=1600,AL37,(IF($G$18&gt;1600,AL38))))))))))</f>
        <v>120</v>
      </c>
      <c r="AH14" s="104">
        <f t="shared" si="10"/>
        <v>120</v>
      </c>
      <c r="AO14" s="18"/>
      <c r="AZ14" s="105" t="s">
        <v>448</v>
      </c>
      <c r="BA14" s="22" t="s">
        <v>261</v>
      </c>
      <c r="BB14" s="106">
        <v>1</v>
      </c>
      <c r="BC14" s="103">
        <f>IF($G$17=0,0,IF($G$17&lt;=450,BH29,(IF($G$17&lt;=600,BH30,(IF($G$17&lt;=750,BH31,(IF($G$17&lt;=1000,BH32,(IF($G$17&lt;=1500,BH33,(IF($G$17&gt;1500,BH34))))))))))))</f>
        <v>0</v>
      </c>
      <c r="BD14" s="104">
        <f t="shared" si="11"/>
        <v>0</v>
      </c>
      <c r="BT14" s="314" t="s">
        <v>254</v>
      </c>
      <c r="BU14" s="22" t="s">
        <v>255</v>
      </c>
      <c r="BV14" s="106">
        <v>1</v>
      </c>
      <c r="BW14" s="103">
        <f>IF($G$16=0,0,IF($G$16&lt;=400,CB31,(IF($G$16&lt;=550,CB32,(IF($G$16&lt;=700,CB33,(IF($G$16&lt;=1000,CB34,(IF($G$16&lt;=1500,CB35,(IF($G$16&gt;1500,CB36))))))))))))</f>
        <v>300</v>
      </c>
      <c r="BX14" s="315">
        <f t="shared" si="12"/>
        <v>300</v>
      </c>
      <c r="CE14" s="18"/>
      <c r="CK14" s="54"/>
      <c r="CL14" s="22" t="s">
        <v>936</v>
      </c>
      <c r="CM14" s="22">
        <v>193.22499999999999</v>
      </c>
      <c r="CN14" s="617">
        <v>38645</v>
      </c>
      <c r="CO14" s="518">
        <v>196.89041666666668</v>
      </c>
      <c r="CP14" s="518">
        <v>36349</v>
      </c>
      <c r="CQ14" s="518"/>
      <c r="CR14" s="518"/>
      <c r="CS14" s="596">
        <v>193.22499999999999</v>
      </c>
      <c r="CT14" s="515">
        <v>38645</v>
      </c>
    </row>
    <row r="15" spans="1:116" s="2" customFormat="1" ht="12" customHeight="1" x14ac:dyDescent="0.2">
      <c r="D15" s="382" t="s">
        <v>103</v>
      </c>
      <c r="I15" s="382"/>
      <c r="O15" s="117"/>
      <c r="P15" s="117"/>
      <c r="Q15" s="117"/>
      <c r="R15" s="117"/>
      <c r="S15" s="117"/>
      <c r="T15" s="117"/>
      <c r="U15" s="117"/>
      <c r="V15" s="117"/>
      <c r="AD15" s="105" t="s">
        <v>560</v>
      </c>
      <c r="AE15" s="49" t="s">
        <v>581</v>
      </c>
      <c r="AF15" s="187">
        <v>1</v>
      </c>
      <c r="AG15" s="390">
        <f>IF($G$18=0,0,IF($G$18&lt;=450,AM34,(IF($G$18&lt;=800,AM35,(IF($G$18&lt;=1200,AM36,(IF($G$18&lt;=1600,AM37,(IF($G$18&gt;1600,AM38))))))))))</f>
        <v>1100</v>
      </c>
      <c r="AH15" s="104">
        <f t="shared" ref="AH15:AH22" si="13">AF15*AG15</f>
        <v>1100</v>
      </c>
      <c r="AO15" s="18"/>
      <c r="AZ15" s="108" t="s">
        <v>451</v>
      </c>
      <c r="BA15" s="109" t="s">
        <v>261</v>
      </c>
      <c r="BB15" s="106">
        <v>1</v>
      </c>
      <c r="BC15" s="103">
        <f>IF($G$17=0,0,IF($G$17&lt;=450,BI29,(IF($G$17&lt;=600,BI30,(IF($G$17&lt;=750,BI31,(IF($G$17&lt;=1000,BI32,(IF($G$17&lt;=1500,BI33,(IF($G$17&gt;1500,BI34))))))))))))</f>
        <v>0</v>
      </c>
      <c r="BD15" s="104">
        <f t="shared" si="11"/>
        <v>0</v>
      </c>
      <c r="BE15" s="17" t="s">
        <v>41</v>
      </c>
      <c r="BT15" s="314" t="s">
        <v>256</v>
      </c>
      <c r="BU15" s="22" t="s">
        <v>257</v>
      </c>
      <c r="BV15" s="106">
        <v>1</v>
      </c>
      <c r="BW15" s="103">
        <f>IF($G$16=0,0,IF($G$16&lt;=400,CC31,(IF($G$16&lt;=550,CC32,(IF($G$16&lt;=700,CC33,(IF($G$16&lt;=1000,CC34,(IF($G$16&lt;=1500,CC35,(IF($G$16&gt;1500,CC36))))))))))))</f>
        <v>60</v>
      </c>
      <c r="BX15" s="315">
        <f t="shared" si="12"/>
        <v>60</v>
      </c>
      <c r="CE15" s="18"/>
      <c r="CK15" s="54"/>
      <c r="CL15" s="618" t="s">
        <v>874</v>
      </c>
      <c r="CM15" s="619"/>
      <c r="CN15" s="620">
        <v>103215</v>
      </c>
      <c r="CO15" s="287"/>
      <c r="CP15" s="601">
        <f>SUM(CP12:CP14)</f>
        <v>97081</v>
      </c>
      <c r="CT15" s="594">
        <f>SUM(CT12:CT14)</f>
        <v>103215</v>
      </c>
    </row>
    <row r="16" spans="1:116" s="2" customFormat="1" ht="12" customHeight="1" thickBot="1" x14ac:dyDescent="0.25">
      <c r="C16" s="23"/>
      <c r="D16" s="15"/>
      <c r="E16" s="15"/>
      <c r="F16" s="89" t="s">
        <v>762</v>
      </c>
      <c r="G16" s="905">
        <v>300</v>
      </c>
      <c r="H16" s="906"/>
      <c r="I16" s="768" t="s">
        <v>377</v>
      </c>
      <c r="K16" s="941">
        <f>G16</f>
        <v>300</v>
      </c>
      <c r="L16" s="942"/>
      <c r="M16" s="943"/>
      <c r="O16" s="1018" t="s">
        <v>755</v>
      </c>
      <c r="P16" s="421"/>
      <c r="Q16" s="1017" t="s">
        <v>758</v>
      </c>
      <c r="R16" s="421"/>
      <c r="S16" s="1018" t="s">
        <v>759</v>
      </c>
      <c r="T16" s="421"/>
      <c r="U16" s="1017" t="s">
        <v>760</v>
      </c>
      <c r="V16" s="117"/>
      <c r="AD16" s="105" t="s">
        <v>561</v>
      </c>
      <c r="AE16" s="49" t="s">
        <v>261</v>
      </c>
      <c r="AF16" s="187">
        <v>1</v>
      </c>
      <c r="AG16" s="390">
        <f>IF($G$18=0,0,IF($G$18&lt;=450,AN34,(IF($G$18&lt;=800,AN35,(IF($G$18&lt;=1200,AN36,(IF($G$18&lt;=1600,AN37,(IF($G$18&gt;1600,AN38))))))))))</f>
        <v>450</v>
      </c>
      <c r="AH16" s="104">
        <f t="shared" si="13"/>
        <v>450</v>
      </c>
      <c r="AO16" s="18"/>
      <c r="AZ16" s="108" t="s">
        <v>449</v>
      </c>
      <c r="BA16" s="109" t="s">
        <v>263</v>
      </c>
      <c r="BB16" s="106">
        <v>1</v>
      </c>
      <c r="BC16" s="103">
        <f>IF($G$17=0,0,IF($G$17&lt;=450,BJ29,(IF($G$17&lt;=600,BJ30,(IF($G$17&lt;=750,BJ31,(IF($G$17&lt;=1000,BJ32,(IF($G$17&lt;=1500,BJ33,(IF($G$17&gt;1500,BJ34))))))))))))</f>
        <v>0</v>
      </c>
      <c r="BD16" s="104">
        <f t="shared" si="11"/>
        <v>0</v>
      </c>
      <c r="BE16" s="17" t="s">
        <v>41</v>
      </c>
      <c r="BT16" s="314" t="s">
        <v>258</v>
      </c>
      <c r="BU16" s="22" t="s">
        <v>259</v>
      </c>
      <c r="BV16" s="106">
        <v>1</v>
      </c>
      <c r="BW16" s="103">
        <f>IF($G$16=0,0,IF($G$16&lt;=400,CD31,(IF($G$16&lt;=550,CD32,(IF($G$16&lt;=700,CD33,(IF($G$16&lt;=1000,CD34,(IF($G$16&lt;=1500,CD35,(IF($G$16&gt;1500,CD36))))))))))))</f>
        <v>200</v>
      </c>
      <c r="BX16" s="315">
        <f t="shared" si="12"/>
        <v>200</v>
      </c>
      <c r="BY16" s="17" t="s">
        <v>41</v>
      </c>
      <c r="CK16" s="163"/>
      <c r="CL16" s="45"/>
      <c r="CM16" s="45"/>
      <c r="CN16" s="621"/>
      <c r="CO16" s="287"/>
      <c r="CP16" s="590">
        <f>CP10</f>
        <v>600</v>
      </c>
      <c r="CQ16" s="590"/>
      <c r="CR16" s="590"/>
      <c r="CS16" s="591"/>
      <c r="CT16" s="590">
        <f>CT10</f>
        <v>650</v>
      </c>
      <c r="CU16" s="591"/>
      <c r="CX16" s="591"/>
      <c r="CY16" s="591"/>
      <c r="CZ16" s="591"/>
      <c r="DA16" s="591"/>
      <c r="DB16" s="591"/>
      <c r="DC16" s="591"/>
      <c r="DD16" s="591"/>
      <c r="DE16" s="591"/>
      <c r="DF16" s="591"/>
      <c r="DG16" s="591"/>
      <c r="DH16" s="591"/>
      <c r="DI16" s="591"/>
      <c r="DJ16" s="591"/>
      <c r="DK16" s="591"/>
      <c r="DL16" s="591"/>
    </row>
    <row r="17" spans="3:102" s="2" customFormat="1" ht="12" customHeight="1" x14ac:dyDescent="0.2">
      <c r="F17" s="89" t="s">
        <v>761</v>
      </c>
      <c r="G17" s="905">
        <v>150</v>
      </c>
      <c r="H17" s="906"/>
      <c r="I17" s="768" t="s">
        <v>377</v>
      </c>
      <c r="K17" s="941">
        <f t="shared" ref="K17:K18" si="14">G17</f>
        <v>150</v>
      </c>
      <c r="L17" s="942"/>
      <c r="M17" s="943"/>
      <c r="O17" s="1018"/>
      <c r="P17" s="421"/>
      <c r="Q17" s="1017"/>
      <c r="R17" s="421"/>
      <c r="S17" s="1018"/>
      <c r="T17" s="421"/>
      <c r="U17" s="1017"/>
      <c r="V17" s="117"/>
      <c r="AD17" s="105" t="s">
        <v>563</v>
      </c>
      <c r="AE17" s="22" t="s">
        <v>259</v>
      </c>
      <c r="AF17" s="106">
        <v>1</v>
      </c>
      <c r="AG17" s="390">
        <f>IF($G$18=0,0,IF($G$18&lt;=450,AO34,(IF($G$18&lt;=800,AO35,(IF($G$18&lt;=1200,AO36,(IF($G$18&lt;=1600,AO37,(IF($G$18&gt;1600,AO38))))))))))</f>
        <v>100</v>
      </c>
      <c r="AH17" s="104">
        <f t="shared" si="13"/>
        <v>100</v>
      </c>
      <c r="AO17" s="18"/>
      <c r="AZ17" s="108" t="s">
        <v>450</v>
      </c>
      <c r="BA17" s="109" t="s">
        <v>265</v>
      </c>
      <c r="BB17" s="106">
        <v>1</v>
      </c>
      <c r="BC17" s="286">
        <f>IF($G$17=0,0,IF($G$17&lt;=450,BK29,(IF($G$17&lt;=600,BK30,(IF($G$17&lt;=750,BK31,(IF($G$17&lt;=1000,BK32,(IF($G$17&lt;=1500,BK33,(IF($G$17&gt;1500,BK34))))))))))))</f>
        <v>0</v>
      </c>
      <c r="BD17" s="112">
        <f t="shared" si="11"/>
        <v>0</v>
      </c>
      <c r="BE17" s="17" t="s">
        <v>41</v>
      </c>
      <c r="BK17" s="18"/>
      <c r="BT17" s="373" t="s">
        <v>260</v>
      </c>
      <c r="BU17" s="109" t="s">
        <v>261</v>
      </c>
      <c r="BV17" s="106">
        <v>1</v>
      </c>
      <c r="BW17" s="103">
        <f>IF($G$16=0,0,IF($G$16&lt;=400,CE31,(IF($G$16&lt;=550,CE32,(IF($G$16&lt;=700,CE33,(IF($G$16&lt;=1000,CE34,(IF($G$16&lt;=1500,CE35,(IF($G$16&gt;1500,CE36))))))))))))</f>
        <v>0</v>
      </c>
      <c r="BX17" s="315">
        <f>BV17*BW17</f>
        <v>0</v>
      </c>
      <c r="BY17" s="17" t="s">
        <v>41</v>
      </c>
      <c r="CK17" s="48" t="s">
        <v>782</v>
      </c>
      <c r="CL17" s="529" t="s">
        <v>16</v>
      </c>
      <c r="CM17" s="622"/>
      <c r="CN17" s="623">
        <v>23800</v>
      </c>
      <c r="CO17" s="1"/>
      <c r="CP17" s="602">
        <v>23800</v>
      </c>
      <c r="CQ17" s="80"/>
      <c r="CR17" s="80"/>
      <c r="CT17" s="529">
        <v>23800</v>
      </c>
      <c r="CV17" s="529">
        <f>CT17+CT18+CT20+CT21+CT22+CT24+CT25+CT26+CT27</f>
        <v>48801.666666666664</v>
      </c>
      <c r="CX17" s="2">
        <f>$CT$15/CV17</f>
        <v>2.1149892421706911</v>
      </c>
    </row>
    <row r="18" spans="3:102" s="2" customFormat="1" ht="12" customHeight="1" x14ac:dyDescent="0.2">
      <c r="F18" s="89" t="s">
        <v>744</v>
      </c>
      <c r="G18" s="905">
        <v>200</v>
      </c>
      <c r="H18" s="906"/>
      <c r="I18" s="768" t="s">
        <v>377</v>
      </c>
      <c r="K18" s="941">
        <f t="shared" si="14"/>
        <v>200</v>
      </c>
      <c r="L18" s="942"/>
      <c r="M18" s="943"/>
      <c r="O18" s="1018"/>
      <c r="P18" s="421"/>
      <c r="Q18" s="1017"/>
      <c r="R18" s="422"/>
      <c r="S18" s="1018"/>
      <c r="T18" s="422"/>
      <c r="U18" s="1017"/>
      <c r="V18" s="117"/>
      <c r="AD18" s="105" t="s">
        <v>564</v>
      </c>
      <c r="AE18" s="22" t="s">
        <v>576</v>
      </c>
      <c r="AF18" s="106">
        <v>1</v>
      </c>
      <c r="AG18" s="390">
        <f>IF($G$18=0,0,IF($G$18&lt;=450,AP34,(IF($G$18&lt;=800,AP35,(IF($G$18&lt;=1200,AP36,(IF($G$18&lt;=1600,AP37,(IF($G$18&gt;1600,AP38))))))))))</f>
        <v>0</v>
      </c>
      <c r="AH18" s="104">
        <f t="shared" si="13"/>
        <v>0</v>
      </c>
      <c r="AO18" s="18"/>
      <c r="AZ18" s="101"/>
      <c r="BA18" s="22"/>
      <c r="BB18" s="80"/>
      <c r="BC18" s="80"/>
      <c r="BD18" s="73"/>
      <c r="BK18" s="18"/>
      <c r="BT18" s="373" t="s">
        <v>262</v>
      </c>
      <c r="BU18" s="109" t="s">
        <v>263</v>
      </c>
      <c r="BV18" s="106">
        <v>1</v>
      </c>
      <c r="BW18" s="103">
        <f>IF($G$16=0,0,IF($G$16&lt;=400,CF31,(IF($G$16&lt;=550,CF32,(IF($G$16&lt;=700,CF33,(IF($G$16&lt;=1000,CF34,(IF($G$16&lt;=1500,CF35,(IF($G$16&gt;1500,CF36))))))))))))</f>
        <v>0</v>
      </c>
      <c r="BX18" s="315">
        <f>BV18*BW18</f>
        <v>0</v>
      </c>
      <c r="BY18" s="17" t="s">
        <v>41</v>
      </c>
      <c r="CK18" s="48" t="s">
        <v>783</v>
      </c>
      <c r="CL18" s="529" t="s">
        <v>18</v>
      </c>
      <c r="CM18" s="161"/>
      <c r="CN18" s="624">
        <v>2650</v>
      </c>
      <c r="CO18" s="1"/>
      <c r="CP18" s="603">
        <v>2650</v>
      </c>
      <c r="CQ18" s="80"/>
      <c r="CR18" s="80"/>
      <c r="CT18" s="529">
        <v>2650</v>
      </c>
    </row>
    <row r="19" spans="3:102" s="2" customFormat="1" ht="12" customHeight="1" thickBot="1" x14ac:dyDescent="0.25">
      <c r="F19" s="383" t="s">
        <v>749</v>
      </c>
      <c r="G19" s="1006">
        <f>SUM(G16:H18)</f>
        <v>650</v>
      </c>
      <c r="H19" s="1007"/>
      <c r="I19" s="382"/>
      <c r="K19" s="1008">
        <f t="shared" ref="K19" si="15">G19</f>
        <v>650</v>
      </c>
      <c r="L19" s="1009"/>
      <c r="M19" s="1010"/>
      <c r="O19" s="423"/>
      <c r="P19" s="423"/>
      <c r="Q19" s="424"/>
      <c r="R19" s="423"/>
      <c r="S19" s="423"/>
      <c r="T19" s="423"/>
      <c r="U19" s="425" t="s">
        <v>756</v>
      </c>
      <c r="V19" s="426"/>
      <c r="AD19" s="105" t="s">
        <v>565</v>
      </c>
      <c r="AE19" s="22" t="s">
        <v>582</v>
      </c>
      <c r="AF19" s="106">
        <v>1</v>
      </c>
      <c r="AG19" s="390">
        <f>IF($G$18=0,0,IF($G$18&lt;=450,AQ34,(IF($G$18&lt;=800,AQ35,(IF($G$18&lt;=1200,AQ36,(IF($G$18&lt;=1600,AQ37,(IF($G$18&gt;1600,AQ38))))))))))</f>
        <v>0</v>
      </c>
      <c r="AH19" s="104">
        <f t="shared" si="13"/>
        <v>0</v>
      </c>
      <c r="AZ19" s="113" t="s">
        <v>266</v>
      </c>
      <c r="BA19" s="114"/>
      <c r="BB19" s="115"/>
      <c r="BC19" s="115"/>
      <c r="BD19" s="116">
        <f>SUM(BD8:BD17)</f>
        <v>19480</v>
      </c>
      <c r="BF19" s="482">
        <f>G17/31.5</f>
        <v>4.7619047619047619</v>
      </c>
      <c r="BG19" s="516" t="s">
        <v>92</v>
      </c>
      <c r="BH19" s="517">
        <v>900</v>
      </c>
      <c r="BI19" s="518">
        <f>BF19*BH19</f>
        <v>4285.7142857142853</v>
      </c>
      <c r="BJ19" s="117"/>
      <c r="BK19" s="117"/>
      <c r="BT19" s="373" t="s">
        <v>264</v>
      </c>
      <c r="BU19" s="109" t="s">
        <v>265</v>
      </c>
      <c r="BV19" s="106">
        <v>1</v>
      </c>
      <c r="BW19" s="286">
        <f>IF($G$16=0,0,IF($G$16&lt;=400,CG31,(IF($G$16&lt;=550,CG32,(IF($G$16&lt;=700,CG33,(IF($G$16&lt;=1000,CG34,(IF($G$16&lt;=1500,CG35,(IF($G$16&gt;1500,CG36))))))))))))</f>
        <v>1200</v>
      </c>
      <c r="BX19" s="316">
        <f>BV19*BW19</f>
        <v>1200</v>
      </c>
      <c r="CE19" s="18"/>
      <c r="CK19" s="48" t="s">
        <v>784</v>
      </c>
      <c r="CL19" s="625" t="s">
        <v>20</v>
      </c>
      <c r="CM19" s="161"/>
      <c r="CN19" s="624">
        <v>2990</v>
      </c>
      <c r="CO19" s="1"/>
      <c r="CP19" s="626">
        <v>2990</v>
      </c>
      <c r="CQ19" s="80"/>
      <c r="CR19" s="80"/>
      <c r="CT19" s="624">
        <v>2990</v>
      </c>
      <c r="CV19" s="627">
        <f>CT19</f>
        <v>2990</v>
      </c>
      <c r="CX19" s="2">
        <f>$CT$15/CV19</f>
        <v>34.520066889632105</v>
      </c>
    </row>
    <row r="20" spans="3:102" s="2" customFormat="1" ht="6" customHeight="1" thickTop="1" thickBot="1" x14ac:dyDescent="0.25">
      <c r="I20" s="382"/>
      <c r="O20" s="417">
        <f>IF(OR(G16="",G16=0),"",IF(G16&lt;=400,(G16*125),IF(G16&gt;=600,(G16*115.6),(96.8*G16)+11280)))</f>
        <v>37500</v>
      </c>
      <c r="P20" s="17"/>
      <c r="Q20" s="427">
        <f>IF(G16=0,"",O20/$O$24)</f>
        <v>0.39001560062402496</v>
      </c>
      <c r="R20" s="428" t="s">
        <v>92</v>
      </c>
      <c r="S20" s="417">
        <f>IF(G16=0,"",O$26)</f>
        <v>103215.59999999999</v>
      </c>
      <c r="T20" s="428" t="s">
        <v>757</v>
      </c>
      <c r="U20" s="417">
        <f>ROUND(IF(G16=0,"",Q20*S20),0)</f>
        <v>40256</v>
      </c>
      <c r="V20" s="429"/>
      <c r="W20" s="2">
        <v>13280</v>
      </c>
      <c r="X20" s="2">
        <f>W20/U20</f>
        <v>0.32988871224165339</v>
      </c>
      <c r="AD20" s="108" t="s">
        <v>566</v>
      </c>
      <c r="AE20" s="109" t="s">
        <v>261</v>
      </c>
      <c r="AF20" s="106">
        <v>1</v>
      </c>
      <c r="AG20" s="390">
        <f>IF($G$18=0,0,IF($G$18&lt;=450,AR34,(IF($G$18&lt;=800,AR35,(IF($G$18&lt;=1200,AR36,(IF($G$18&lt;=1600,AR37,(IF($G$18&gt;1600,AR38))))))))))</f>
        <v>0</v>
      </c>
      <c r="AH20" s="104">
        <f t="shared" si="13"/>
        <v>0</v>
      </c>
      <c r="AI20" s="17" t="s">
        <v>41</v>
      </c>
      <c r="AZ20" s="117"/>
      <c r="BA20" s="117"/>
      <c r="BB20" s="117"/>
      <c r="BC20" s="117"/>
      <c r="BD20" s="117"/>
      <c r="BE20" s="117"/>
      <c r="BF20" s="117"/>
      <c r="BG20" s="117"/>
      <c r="BH20" s="117"/>
      <c r="BI20" s="117"/>
      <c r="BJ20" s="117"/>
      <c r="BK20" s="117"/>
      <c r="BT20" s="317"/>
      <c r="BU20" s="22"/>
      <c r="BV20" s="80"/>
      <c r="BW20" s="80"/>
      <c r="BX20" s="318"/>
      <c r="CE20" s="18"/>
      <c r="CK20" s="48" t="s">
        <v>785</v>
      </c>
      <c r="CL20" s="529" t="s">
        <v>22</v>
      </c>
      <c r="CM20" s="161"/>
      <c r="CN20" s="624">
        <v>3275</v>
      </c>
      <c r="CO20" s="1"/>
      <c r="CP20" s="603">
        <v>3275</v>
      </c>
      <c r="CQ20" s="80"/>
      <c r="CR20" s="80"/>
      <c r="CT20" s="529">
        <v>3275</v>
      </c>
    </row>
    <row r="21" spans="3:102" s="2" customFormat="1" ht="12" customHeight="1" thickBot="1" x14ac:dyDescent="0.25">
      <c r="I21" s="382"/>
      <c r="O21" s="417">
        <f>IF(OR(G17=0,G17=""),"",IF(G17&lt;=450,(G17*151),IF(G17&gt;=650,(G17*141),(118.5*G17)+14625)))</f>
        <v>22650</v>
      </c>
      <c r="P21" s="17"/>
      <c r="Q21" s="427">
        <f>IF(G17=0,"",O21/$O$24)</f>
        <v>0.23556942277691106</v>
      </c>
      <c r="R21" s="428" t="s">
        <v>92</v>
      </c>
      <c r="S21" s="417">
        <f>IF(G17=0,"",O$26)</f>
        <v>103215.59999999999</v>
      </c>
      <c r="T21" s="428" t="s">
        <v>757</v>
      </c>
      <c r="U21" s="417">
        <f>ROUND(IF(G17=0,"",Q21*S21),0)</f>
        <v>24314</v>
      </c>
      <c r="V21" s="430"/>
      <c r="W21" s="2">
        <v>4260</v>
      </c>
      <c r="X21" s="2">
        <f t="shared" ref="X21:X22" si="16">W21/U21</f>
        <v>0.17520769926791149</v>
      </c>
      <c r="Z21" s="445"/>
      <c r="AA21" s="439" t="s">
        <v>766</v>
      </c>
      <c r="AB21" s="446"/>
      <c r="AD21" s="108" t="s">
        <v>567</v>
      </c>
      <c r="AE21" s="109" t="s">
        <v>576</v>
      </c>
      <c r="AF21" s="106">
        <v>1</v>
      </c>
      <c r="AG21" s="390">
        <f>IF($G$18=0,0,IF($G$18&lt;=450,AS34,(IF($G$18&lt;=800,AS35,(IF($G$18&lt;=1200,AS36,(IF($G$18&lt;=1600,AS37,(IF($G$18&gt;1600,AS38))))))))))</f>
        <v>0</v>
      </c>
      <c r="AH21" s="104">
        <f t="shared" si="13"/>
        <v>0</v>
      </c>
      <c r="AI21" s="17" t="s">
        <v>41</v>
      </c>
      <c r="AZ21" s="967" t="s">
        <v>267</v>
      </c>
      <c r="BA21" s="968"/>
      <c r="BB21" s="968"/>
      <c r="BC21" s="968"/>
      <c r="BD21" s="968"/>
      <c r="BE21" s="968"/>
      <c r="BF21" s="969"/>
      <c r="BG21" s="117"/>
      <c r="BH21" s="117"/>
      <c r="BI21" s="117"/>
      <c r="BJ21" s="117"/>
      <c r="BK21" s="117"/>
      <c r="BT21" s="319" t="s">
        <v>266</v>
      </c>
      <c r="BU21" s="320"/>
      <c r="BV21" s="381"/>
      <c r="BW21" s="381"/>
      <c r="BX21" s="322">
        <f>SUM(BX8:BX19)</f>
        <v>13280</v>
      </c>
      <c r="BZ21" s="518">
        <f>G16</f>
        <v>300</v>
      </c>
      <c r="CA21" s="520" t="s">
        <v>862</v>
      </c>
      <c r="CB21" s="523">
        <v>20.3</v>
      </c>
      <c r="CC21" s="518">
        <f>BZ21/CB21</f>
        <v>14.778325123152708</v>
      </c>
      <c r="CD21" s="522" t="s">
        <v>92</v>
      </c>
      <c r="CE21" s="521">
        <v>900</v>
      </c>
      <c r="CF21" s="518">
        <f>CC21*CE21</f>
        <v>13300.492610837437</v>
      </c>
      <c r="CK21" s="48" t="s">
        <v>786</v>
      </c>
      <c r="CL21" s="529" t="s">
        <v>27</v>
      </c>
      <c r="CM21" s="161"/>
      <c r="CN21" s="624">
        <v>2800</v>
      </c>
      <c r="CO21" s="1"/>
      <c r="CP21" s="603">
        <v>2800</v>
      </c>
      <c r="CQ21" s="80"/>
      <c r="CR21" s="80"/>
      <c r="CT21" s="529">
        <v>2800</v>
      </c>
    </row>
    <row r="22" spans="3:102" s="2" customFormat="1" ht="12" customHeight="1" thickBot="1" x14ac:dyDescent="0.25">
      <c r="D22" s="382" t="s">
        <v>746</v>
      </c>
      <c r="G22" s="384" t="s">
        <v>751</v>
      </c>
      <c r="H22" s="387" t="s">
        <v>750</v>
      </c>
      <c r="I22" s="382"/>
      <c r="O22" s="417">
        <f>IF(OR(G18=0,G18=""),"",IF(G18&lt;=450,(G18*180),(IF(G18&gt;2399,(G18*156),(IF(AND(G18&gt;=451,G18&lt;=524),(G18*89)+40950,(IF(AND(G18&gt;=525,G18&lt;=799),(167*G18),(IF(AND(G18&gt;=800,G18&lt;=1199),(G18*166),(IF(AND(G18&gt;=1200,G18&lt;=1599),(153*G18)+14400,(G18*144)+28800))))))))))))</f>
        <v>36000</v>
      </c>
      <c r="P22" s="17"/>
      <c r="Q22" s="427">
        <f>IF(G18=0,"",O22/$O$24)</f>
        <v>0.37441497659906398</v>
      </c>
      <c r="R22" s="428" t="s">
        <v>92</v>
      </c>
      <c r="S22" s="417">
        <f>IF(G18=0,"",O$26)</f>
        <v>103215.59999999999</v>
      </c>
      <c r="T22" s="428" t="s">
        <v>757</v>
      </c>
      <c r="U22" s="417">
        <f>ROUND(IF(G18=0,"",Q22*S22),0)</f>
        <v>38645</v>
      </c>
      <c r="V22" s="430"/>
      <c r="W22" s="2">
        <v>6260</v>
      </c>
      <c r="X22" s="2">
        <f t="shared" si="16"/>
        <v>0.16198732048130418</v>
      </c>
      <c r="Z22" s="450" t="s">
        <v>763</v>
      </c>
      <c r="AA22" s="451" t="s">
        <v>764</v>
      </c>
      <c r="AB22" s="452" t="s">
        <v>765</v>
      </c>
      <c r="AD22" s="108" t="s">
        <v>568</v>
      </c>
      <c r="AE22" s="109" t="s">
        <v>265</v>
      </c>
      <c r="AF22" s="106">
        <v>1</v>
      </c>
      <c r="AG22" s="391">
        <f>IF($G$18=0,0,IF($G$18&lt;=450,AT34,(IF($G$18&lt;=800,AT35,(IF($G$18&lt;=1200,AT36,(IF($G$18&lt;=1600,AT37,(IF($G$18&gt;1600,AT38))))))))))</f>
        <v>1200</v>
      </c>
      <c r="AH22" s="112">
        <f t="shared" si="13"/>
        <v>1200</v>
      </c>
      <c r="AI22" s="17" t="s">
        <v>41</v>
      </c>
      <c r="AO22" s="18"/>
      <c r="AZ22" s="118" t="s">
        <v>23</v>
      </c>
      <c r="BA22" s="119" t="s">
        <v>24</v>
      </c>
      <c r="BB22" s="120"/>
      <c r="BC22" s="120"/>
      <c r="BD22" s="120"/>
      <c r="BE22" s="120"/>
      <c r="BF22" s="121"/>
      <c r="BG22" s="122"/>
      <c r="BH22" s="122"/>
      <c r="BI22" s="122"/>
      <c r="BJ22" s="122"/>
      <c r="BK22" s="117"/>
      <c r="BT22" s="117"/>
      <c r="BU22" s="117"/>
      <c r="BV22" s="117"/>
      <c r="BW22" s="117"/>
      <c r="BX22" s="117"/>
      <c r="BY22" s="117"/>
      <c r="BZ22" s="117"/>
      <c r="CA22" s="117"/>
      <c r="CB22" s="117"/>
      <c r="CC22" s="117"/>
      <c r="CD22" s="117"/>
      <c r="CE22" s="117"/>
      <c r="CK22" s="48" t="s">
        <v>787</v>
      </c>
      <c r="CL22" s="529" t="s">
        <v>29</v>
      </c>
      <c r="CM22" s="161"/>
      <c r="CN22" s="624">
        <v>3955</v>
      </c>
      <c r="CO22" s="1"/>
      <c r="CP22" s="603">
        <v>3955</v>
      </c>
      <c r="CQ22" s="80"/>
      <c r="CR22" s="80"/>
      <c r="CT22" s="529">
        <v>3955</v>
      </c>
    </row>
    <row r="23" spans="3:102" s="2" customFormat="1" ht="12" customHeight="1" thickBot="1" x14ac:dyDescent="0.25">
      <c r="F23" s="84" t="s">
        <v>745</v>
      </c>
      <c r="G23" s="386">
        <f>IF(OR(G16=0,G16=""),"",U20/G16)</f>
        <v>134.18666666666667</v>
      </c>
      <c r="H23" s="388">
        <f ca="1">DNPBracketing!V48</f>
        <v>40255.460218408734</v>
      </c>
      <c r="I23" s="382"/>
      <c r="O23" s="431"/>
      <c r="P23" s="432"/>
      <c r="Q23" s="432"/>
      <c r="R23" s="432"/>
      <c r="S23" s="432"/>
      <c r="T23" s="432"/>
      <c r="U23" s="432"/>
      <c r="V23" s="117"/>
      <c r="Z23" s="453">
        <f>BX21</f>
        <v>13280</v>
      </c>
      <c r="AA23" s="454">
        <f>BD19</f>
        <v>19480</v>
      </c>
      <c r="AB23" s="455">
        <f>AH24</f>
        <v>18870</v>
      </c>
      <c r="AD23" s="101"/>
      <c r="AE23" s="22"/>
      <c r="AF23" s="80"/>
      <c r="AG23" s="80"/>
      <c r="AH23" s="73"/>
      <c r="AO23" s="18"/>
      <c r="AZ23" s="123">
        <v>1</v>
      </c>
      <c r="BA23" s="124" t="s">
        <v>455</v>
      </c>
      <c r="BB23" s="125"/>
      <c r="BC23" s="125"/>
      <c r="BD23" s="125"/>
      <c r="BE23" s="125"/>
      <c r="BF23" s="126"/>
      <c r="BG23" s="122"/>
      <c r="BH23" s="122"/>
      <c r="BI23" s="122"/>
      <c r="BJ23" s="122"/>
      <c r="BK23" s="117"/>
      <c r="BT23" s="967" t="s">
        <v>267</v>
      </c>
      <c r="BU23" s="968"/>
      <c r="BV23" s="968"/>
      <c r="BW23" s="968"/>
      <c r="BX23" s="968"/>
      <c r="BY23" s="968"/>
      <c r="BZ23" s="969"/>
      <c r="CA23" s="117"/>
      <c r="CB23" s="117"/>
      <c r="CC23" s="117"/>
      <c r="CD23" s="117"/>
      <c r="CE23" s="117"/>
      <c r="CK23" s="48" t="s">
        <v>791</v>
      </c>
      <c r="CL23" s="628" t="s">
        <v>2</v>
      </c>
      <c r="CM23" s="161"/>
      <c r="CN23" s="624">
        <v>15800</v>
      </c>
      <c r="CO23" s="1"/>
      <c r="CP23" s="626">
        <v>15800</v>
      </c>
      <c r="CQ23" s="80"/>
      <c r="CR23" s="80"/>
      <c r="CT23" s="624">
        <v>15800</v>
      </c>
    </row>
    <row r="24" spans="3:102" s="2" customFormat="1" ht="12" customHeight="1" thickBot="1" x14ac:dyDescent="0.25">
      <c r="F24" s="84" t="s">
        <v>747</v>
      </c>
      <c r="G24" s="386">
        <f>IF(OR(G17=0,G17=""),"",U21/G17)</f>
        <v>162.09333333333333</v>
      </c>
      <c r="H24" s="388">
        <f ca="1">DNPBracketing!V49</f>
        <v>24314.297971918877</v>
      </c>
      <c r="I24" s="382"/>
      <c r="K24" s="15"/>
      <c r="L24" s="15"/>
      <c r="M24" s="15"/>
      <c r="O24" s="417">
        <f>SUM(O20:O22)</f>
        <v>96150</v>
      </c>
      <c r="P24" s="17"/>
      <c r="Q24" s="427">
        <f>SUM(Q20:Q22)</f>
        <v>1</v>
      </c>
      <c r="R24" s="17"/>
      <c r="S24" s="17"/>
      <c r="T24" s="433"/>
      <c r="U24" s="417">
        <f>SUM(U20:U22)</f>
        <v>103215</v>
      </c>
      <c r="V24" s="117"/>
      <c r="W24" s="2">
        <f>SUM(W20:W22)</f>
        <v>23800</v>
      </c>
      <c r="X24" s="2">
        <f>W24/U24</f>
        <v>0.23058663953882672</v>
      </c>
      <c r="Z24" s="447"/>
      <c r="AA24" s="448">
        <f>SUM(Z23:AB23)</f>
        <v>51630</v>
      </c>
      <c r="AB24" s="449"/>
      <c r="AD24" s="113" t="s">
        <v>266</v>
      </c>
      <c r="AE24" s="114"/>
      <c r="AF24" s="115"/>
      <c r="AG24" s="115"/>
      <c r="AH24" s="116">
        <f>SUM(AH8:AH22)</f>
        <v>18870</v>
      </c>
      <c r="AJ24" s="515">
        <f>G18</f>
        <v>200</v>
      </c>
      <c r="AK24" s="519" t="s">
        <v>862</v>
      </c>
      <c r="AL24" s="117">
        <v>28.5</v>
      </c>
      <c r="AM24" s="117">
        <f>AJ24/AL24</f>
        <v>7.0175438596491224</v>
      </c>
      <c r="AN24" s="117">
        <v>900</v>
      </c>
      <c r="AO24" s="117">
        <f>AM24*AN24</f>
        <v>6315.78947368421</v>
      </c>
      <c r="AZ24" s="123"/>
      <c r="BA24" s="127" t="s">
        <v>423</v>
      </c>
      <c r="BB24" s="128"/>
      <c r="BC24" s="128"/>
      <c r="BD24" s="128"/>
      <c r="BE24" s="128"/>
      <c r="BF24" s="129"/>
      <c r="BG24" s="122"/>
      <c r="BH24" s="122"/>
      <c r="BI24" s="122"/>
      <c r="BJ24" s="122"/>
      <c r="BK24" s="117"/>
      <c r="BT24" s="118" t="s">
        <v>23</v>
      </c>
      <c r="BU24" s="119" t="s">
        <v>24</v>
      </c>
      <c r="BV24" s="120"/>
      <c r="BW24" s="120"/>
      <c r="BX24" s="120"/>
      <c r="BY24" s="120"/>
      <c r="BZ24" s="121"/>
      <c r="CA24" s="122"/>
      <c r="CB24" s="122"/>
      <c r="CC24" s="122"/>
      <c r="CD24" s="122"/>
      <c r="CE24" s="117"/>
      <c r="CK24" s="48" t="s">
        <v>792</v>
      </c>
      <c r="CL24" s="529" t="s">
        <v>4</v>
      </c>
      <c r="CM24" s="161"/>
      <c r="CN24" s="624">
        <v>6321.6666666666661</v>
      </c>
      <c r="CO24" s="1"/>
      <c r="CP24" s="603">
        <v>6321.6666666666661</v>
      </c>
      <c r="CQ24" s="80"/>
      <c r="CR24" s="80"/>
      <c r="CT24" s="529">
        <v>6321.6666666666661</v>
      </c>
    </row>
    <row r="25" spans="3:102" s="2" customFormat="1" ht="12" customHeight="1" thickTop="1" thickBot="1" x14ac:dyDescent="0.25">
      <c r="F25" s="84" t="s">
        <v>748</v>
      </c>
      <c r="G25" s="386">
        <f>IF(OR(G18=0,G18=""),"",U22/G18)</f>
        <v>193.22499999999999</v>
      </c>
      <c r="H25" s="389">
        <f ca="1">DNPBracketing!V50</f>
        <v>38645.241809672385</v>
      </c>
      <c r="I25" s="382"/>
      <c r="K25" s="458"/>
      <c r="L25" s="458"/>
      <c r="M25" s="458"/>
      <c r="O25" s="434"/>
      <c r="P25" s="434"/>
      <c r="Q25" s="434"/>
      <c r="R25" s="434"/>
      <c r="S25" s="434"/>
      <c r="T25" s="434"/>
      <c r="U25" s="434"/>
      <c r="V25" s="117"/>
      <c r="AA25" s="518">
        <f>ROUNDUP(AB27,-1)</f>
        <v>23910</v>
      </c>
      <c r="AD25" s="117"/>
      <c r="AE25" s="117"/>
      <c r="AF25" s="117"/>
      <c r="AG25" s="117"/>
      <c r="AH25" s="117"/>
      <c r="AI25" s="117"/>
      <c r="AJ25" s="117"/>
      <c r="AK25" s="117"/>
      <c r="AL25" s="117"/>
      <c r="AM25" s="117"/>
      <c r="AN25" s="117"/>
      <c r="AO25" s="117"/>
      <c r="AZ25" s="130"/>
      <c r="BA25" s="131" t="s">
        <v>574</v>
      </c>
      <c r="BB25" s="132"/>
      <c r="BC25" s="132"/>
      <c r="BD25" s="132"/>
      <c r="BE25" s="132"/>
      <c r="BF25" s="133"/>
      <c r="BT25" s="123">
        <v>1</v>
      </c>
      <c r="BU25" s="124" t="s">
        <v>268</v>
      </c>
      <c r="BV25" s="125"/>
      <c r="BW25" s="125"/>
      <c r="BX25" s="125"/>
      <c r="BY25" s="125"/>
      <c r="BZ25" s="126"/>
      <c r="CA25" s="122"/>
      <c r="CB25" s="122"/>
      <c r="CC25" s="122"/>
      <c r="CD25" s="122"/>
      <c r="CE25" s="117"/>
      <c r="CK25" s="48" t="s">
        <v>790</v>
      </c>
      <c r="CL25" s="529" t="s">
        <v>0</v>
      </c>
      <c r="CM25" s="161"/>
      <c r="CN25" s="629">
        <v>2650</v>
      </c>
      <c r="CO25" s="1"/>
      <c r="CP25" s="603">
        <v>2650</v>
      </c>
      <c r="CQ25" s="630"/>
      <c r="CR25" s="630"/>
      <c r="CT25" s="529">
        <v>2650</v>
      </c>
    </row>
    <row r="26" spans="3:102" s="2" customFormat="1" ht="12" customHeight="1" thickBot="1" x14ac:dyDescent="0.25">
      <c r="F26" s="85" t="s">
        <v>427</v>
      </c>
      <c r="G26" s="998">
        <f ca="1">SUM(H23:H25)</f>
        <v>103215</v>
      </c>
      <c r="H26" s="999"/>
      <c r="I26" s="651">
        <f ca="1">G26/1.11</f>
        <v>92986.486486486479</v>
      </c>
      <c r="O26" s="417">
        <f>IF(G19=0,0,IF(G16=0,U12,IF(G17=0,U13,IF(G18=0,U14,U13))))</f>
        <v>103215.59999999999</v>
      </c>
      <c r="P26" s="434"/>
      <c r="Q26" s="434"/>
      <c r="R26" s="434"/>
      <c r="S26" s="434"/>
      <c r="T26" s="434"/>
      <c r="U26" s="434"/>
      <c r="V26" s="117"/>
      <c r="AD26" s="967" t="s">
        <v>267</v>
      </c>
      <c r="AE26" s="968"/>
      <c r="AF26" s="968"/>
      <c r="AG26" s="968"/>
      <c r="AH26" s="968"/>
      <c r="AI26" s="968"/>
      <c r="AJ26" s="969"/>
      <c r="AK26" s="117"/>
      <c r="AL26" s="117"/>
      <c r="AM26" s="117"/>
      <c r="AN26" s="117"/>
      <c r="AO26" s="117"/>
      <c r="BT26" s="123"/>
      <c r="BU26" s="127" t="s">
        <v>423</v>
      </c>
      <c r="BV26" s="128"/>
      <c r="BW26" s="128"/>
      <c r="BX26" s="128"/>
      <c r="BY26" s="128"/>
      <c r="BZ26" s="129"/>
      <c r="CA26" s="122"/>
      <c r="CB26" s="122"/>
      <c r="CC26" s="122"/>
      <c r="CD26" s="122"/>
      <c r="CE26" s="117"/>
      <c r="CK26" s="48" t="s">
        <v>788</v>
      </c>
      <c r="CL26" s="529" t="s">
        <v>31</v>
      </c>
      <c r="CM26" s="161"/>
      <c r="CN26" s="631">
        <v>3350</v>
      </c>
      <c r="CO26" s="1"/>
      <c r="CP26" s="603">
        <v>3350</v>
      </c>
      <c r="CQ26" s="229"/>
      <c r="CR26" s="229"/>
      <c r="CT26" s="529">
        <v>3350</v>
      </c>
    </row>
    <row r="27" spans="3:102" s="2" customFormat="1" ht="8.25" customHeight="1" thickBot="1" x14ac:dyDescent="0.25">
      <c r="G27" s="477"/>
      <c r="H27" s="477"/>
      <c r="I27" s="774"/>
      <c r="J27" s="52"/>
      <c r="K27" s="464"/>
      <c r="L27" s="464"/>
      <c r="M27" s="464"/>
      <c r="X27" s="2">
        <f>SUM(X20:X22)</f>
        <v>0.66708373199086901</v>
      </c>
      <c r="AB27" s="18">
        <f>AO24+BI19+CF21</f>
        <v>23901.996370235931</v>
      </c>
      <c r="AD27" s="118" t="s">
        <v>23</v>
      </c>
      <c r="AE27" s="119" t="s">
        <v>24</v>
      </c>
      <c r="AF27" s="120"/>
      <c r="AG27" s="120"/>
      <c r="AH27" s="120"/>
      <c r="AI27" s="120"/>
      <c r="AJ27" s="121"/>
      <c r="AK27" s="122"/>
      <c r="AL27" s="122"/>
      <c r="AM27" s="122"/>
      <c r="AN27" s="122"/>
      <c r="AO27" s="117"/>
      <c r="BA27" s="945" t="s">
        <v>102</v>
      </c>
      <c r="BB27" s="946"/>
      <c r="BC27" s="946"/>
      <c r="BD27" s="946"/>
      <c r="BE27" s="946"/>
      <c r="BF27" s="946"/>
      <c r="BG27" s="946"/>
      <c r="BH27" s="946"/>
      <c r="BI27" s="946"/>
      <c r="BJ27" s="946"/>
      <c r="BK27" s="946"/>
      <c r="BL27" s="947"/>
      <c r="BT27" s="130"/>
      <c r="BU27" s="131" t="s">
        <v>269</v>
      </c>
      <c r="BV27" s="132"/>
      <c r="BW27" s="132"/>
      <c r="BX27" s="132"/>
      <c r="BY27" s="132"/>
      <c r="BZ27" s="133"/>
      <c r="CK27" s="48" t="s">
        <v>789</v>
      </c>
      <c r="CL27" s="529" t="s">
        <v>74</v>
      </c>
      <c r="CM27" s="161"/>
      <c r="CN27" s="631">
        <v>0</v>
      </c>
      <c r="CO27" s="1"/>
      <c r="CP27" s="603">
        <v>0</v>
      </c>
      <c r="CQ27" s="229"/>
      <c r="CR27" s="229"/>
      <c r="CT27" s="529">
        <v>0</v>
      </c>
    </row>
    <row r="28" spans="3:102" s="2" customFormat="1" ht="12" customHeight="1" thickBot="1" x14ac:dyDescent="0.25">
      <c r="C28" s="253" t="s">
        <v>368</v>
      </c>
      <c r="G28" s="986">
        <f>IF(I28=1,0,IF(G19=350,((SUM(G31:G34)-AH353)*0.015),IF(G19&gt;=1000,((SUM(G31:G34)-AH353)*0.01),((SUM(G31:G34)-AH353)*(((-0.0008*G19)+1.7692)/100)))))</f>
        <v>0</v>
      </c>
      <c r="H28" s="986"/>
      <c r="I28" s="767">
        <v>1</v>
      </c>
      <c r="J28" s="605"/>
      <c r="K28" s="3"/>
      <c r="AD28" s="123">
        <v>1</v>
      </c>
      <c r="AE28" s="124" t="s">
        <v>572</v>
      </c>
      <c r="AF28" s="125"/>
      <c r="AG28" s="125"/>
      <c r="AH28" s="125"/>
      <c r="AI28" s="125"/>
      <c r="AJ28" s="126"/>
      <c r="AK28" s="122"/>
      <c r="AL28" s="122"/>
      <c r="AM28" s="122"/>
      <c r="AN28" s="122"/>
      <c r="AO28" s="117"/>
      <c r="BA28" s="134" t="s">
        <v>103</v>
      </c>
      <c r="BB28" s="135" t="s">
        <v>442</v>
      </c>
      <c r="BC28" s="135" t="s">
        <v>443</v>
      </c>
      <c r="BD28" s="135" t="s">
        <v>444</v>
      </c>
      <c r="BE28" s="135" t="s">
        <v>445</v>
      </c>
      <c r="BF28" s="135" t="s">
        <v>446</v>
      </c>
      <c r="BG28" s="135" t="s">
        <v>447</v>
      </c>
      <c r="BH28" s="135" t="s">
        <v>448</v>
      </c>
      <c r="BI28" s="135" t="s">
        <v>451</v>
      </c>
      <c r="BJ28" s="135" t="s">
        <v>449</v>
      </c>
      <c r="BK28" s="135" t="s">
        <v>450</v>
      </c>
      <c r="BL28" s="136" t="s">
        <v>179</v>
      </c>
      <c r="CK28" s="48" t="s">
        <v>793</v>
      </c>
      <c r="CL28" s="552" t="s">
        <v>6</v>
      </c>
      <c r="CM28" s="161"/>
      <c r="CN28" s="631">
        <v>2490</v>
      </c>
      <c r="CO28" s="1"/>
      <c r="CP28" s="632">
        <v>2490</v>
      </c>
      <c r="CQ28" s="229"/>
      <c r="CR28" s="229"/>
      <c r="CT28" s="631">
        <v>2490</v>
      </c>
    </row>
    <row r="29" spans="3:102" s="2" customFormat="1" ht="12" customHeight="1" thickBot="1" x14ac:dyDescent="0.25">
      <c r="C29" s="558"/>
      <c r="D29" s="15"/>
      <c r="E29" s="15"/>
      <c r="F29" s="85" t="s">
        <v>371</v>
      </c>
      <c r="G29" s="884">
        <f ca="1">G26+G28</f>
        <v>103215</v>
      </c>
      <c r="H29" s="884"/>
      <c r="I29" s="775"/>
      <c r="AD29" s="123"/>
      <c r="AE29" s="127" t="s">
        <v>423</v>
      </c>
      <c r="AF29" s="128"/>
      <c r="AG29" s="128"/>
      <c r="AH29" s="128"/>
      <c r="AI29" s="128"/>
      <c r="AJ29" s="129"/>
      <c r="AK29" s="122"/>
      <c r="AL29" s="122"/>
      <c r="AM29" s="122"/>
      <c r="AN29" s="122"/>
      <c r="AO29" s="117"/>
      <c r="BA29" s="137" t="s">
        <v>458</v>
      </c>
      <c r="BB29" s="138">
        <v>13500</v>
      </c>
      <c r="BC29" s="138">
        <v>3300</v>
      </c>
      <c r="BD29" s="138">
        <v>1000</v>
      </c>
      <c r="BE29" s="138">
        <v>900</v>
      </c>
      <c r="BF29" s="138">
        <v>180</v>
      </c>
      <c r="BG29" s="138">
        <v>600</v>
      </c>
      <c r="BH29" s="138">
        <v>0</v>
      </c>
      <c r="BI29" s="138">
        <v>0</v>
      </c>
      <c r="BJ29" s="138">
        <v>0</v>
      </c>
      <c r="BK29" s="138">
        <v>0</v>
      </c>
      <c r="BL29" s="139">
        <f t="shared" ref="BL29:BL34" si="17">SUM(BB29:BK29)</f>
        <v>19480</v>
      </c>
      <c r="BU29" s="945" t="s">
        <v>102</v>
      </c>
      <c r="BV29" s="946"/>
      <c r="BW29" s="946"/>
      <c r="BX29" s="946"/>
      <c r="BY29" s="946"/>
      <c r="BZ29" s="946"/>
      <c r="CA29" s="946"/>
      <c r="CB29" s="946"/>
      <c r="CC29" s="946"/>
      <c r="CD29" s="946"/>
      <c r="CE29" s="946"/>
      <c r="CF29" s="946"/>
      <c r="CG29" s="946"/>
      <c r="CH29" s="947"/>
      <c r="CK29" s="48" t="s">
        <v>794</v>
      </c>
      <c r="CL29" s="552" t="s">
        <v>8</v>
      </c>
      <c r="CM29" s="161"/>
      <c r="CN29" s="633">
        <v>500</v>
      </c>
      <c r="CO29" s="1"/>
      <c r="CP29" s="634">
        <v>500</v>
      </c>
      <c r="CQ29" s="229"/>
      <c r="CR29" s="229"/>
      <c r="CT29" s="633">
        <v>500</v>
      </c>
    </row>
    <row r="30" spans="3:102" s="2" customFormat="1" ht="12" customHeight="1" thickBot="1" x14ac:dyDescent="0.25">
      <c r="C30" s="559" t="s">
        <v>43</v>
      </c>
      <c r="D30" s="560"/>
      <c r="E30" s="560"/>
      <c r="F30" s="561"/>
      <c r="G30" s="562" t="s">
        <v>38</v>
      </c>
      <c r="H30" s="563"/>
      <c r="I30" s="382"/>
      <c r="AD30" s="130"/>
      <c r="AE30" s="131" t="s">
        <v>573</v>
      </c>
      <c r="AF30" s="132"/>
      <c r="AG30" s="132"/>
      <c r="AH30" s="132"/>
      <c r="AI30" s="132"/>
      <c r="AJ30" s="133"/>
      <c r="BA30" s="140" t="s">
        <v>459</v>
      </c>
      <c r="BB30" s="141">
        <v>16200</v>
      </c>
      <c r="BC30" s="141">
        <v>6600</v>
      </c>
      <c r="BD30" s="141">
        <v>1000</v>
      </c>
      <c r="BE30" s="141">
        <v>900</v>
      </c>
      <c r="BF30" s="141">
        <v>180</v>
      </c>
      <c r="BG30" s="141">
        <v>600</v>
      </c>
      <c r="BH30" s="141">
        <v>0</v>
      </c>
      <c r="BI30" s="141">
        <v>500</v>
      </c>
      <c r="BJ30" s="141">
        <v>0</v>
      </c>
      <c r="BK30" s="141">
        <v>0</v>
      </c>
      <c r="BL30" s="139">
        <f t="shared" si="17"/>
        <v>25980</v>
      </c>
      <c r="BU30" s="134" t="s">
        <v>103</v>
      </c>
      <c r="BV30" s="135" t="s">
        <v>280</v>
      </c>
      <c r="BW30" s="135" t="s">
        <v>270</v>
      </c>
      <c r="BX30" s="135" t="s">
        <v>281</v>
      </c>
      <c r="BY30" s="135" t="s">
        <v>271</v>
      </c>
      <c r="BZ30" s="135" t="s">
        <v>272</v>
      </c>
      <c r="CA30" s="135" t="s">
        <v>273</v>
      </c>
      <c r="CB30" s="135" t="s">
        <v>274</v>
      </c>
      <c r="CC30" s="135" t="s">
        <v>275</v>
      </c>
      <c r="CD30" s="135" t="s">
        <v>276</v>
      </c>
      <c r="CE30" s="135" t="s">
        <v>277</v>
      </c>
      <c r="CF30" s="135" t="s">
        <v>278</v>
      </c>
      <c r="CG30" s="135" t="s">
        <v>279</v>
      </c>
      <c r="CH30" s="136" t="s">
        <v>179</v>
      </c>
      <c r="CK30" s="48"/>
      <c r="CL30" s="117"/>
      <c r="CM30" s="635" t="s">
        <v>796</v>
      </c>
      <c r="CN30" s="636">
        <v>70581.666666666657</v>
      </c>
      <c r="CO30" s="1"/>
      <c r="CP30" s="385"/>
      <c r="CQ30" s="15"/>
      <c r="CR30" s="15"/>
      <c r="CT30" s="261"/>
    </row>
    <row r="31" spans="3:102" s="2" customFormat="1" ht="42" customHeight="1" thickBot="1" x14ac:dyDescent="0.25">
      <c r="C31" s="929" t="s">
        <v>432</v>
      </c>
      <c r="D31" s="930"/>
      <c r="E31" s="930"/>
      <c r="F31" s="931"/>
      <c r="G31" s="531">
        <f ca="1">G26/CX17</f>
        <v>48801.666666666664</v>
      </c>
      <c r="H31" s="81" t="s">
        <v>48</v>
      </c>
      <c r="I31" s="768" t="s">
        <v>378</v>
      </c>
      <c r="J31" s="52"/>
      <c r="K31" s="961">
        <f>G53+G54+G56+G57+G58+G59+G60+G61+G63</f>
        <v>0</v>
      </c>
      <c r="L31" s="962"/>
      <c r="M31" s="963"/>
      <c r="BA31" s="140" t="s">
        <v>456</v>
      </c>
      <c r="BB31" s="141">
        <v>21600</v>
      </c>
      <c r="BC31" s="141">
        <v>6600</v>
      </c>
      <c r="BD31" s="141">
        <v>1000</v>
      </c>
      <c r="BE31" s="141">
        <v>900</v>
      </c>
      <c r="BF31" s="141">
        <v>180</v>
      </c>
      <c r="BG31" s="141">
        <v>600</v>
      </c>
      <c r="BH31" s="141">
        <v>0</v>
      </c>
      <c r="BI31" s="141">
        <v>500</v>
      </c>
      <c r="BJ31" s="141">
        <v>0</v>
      </c>
      <c r="BK31" s="141">
        <v>0</v>
      </c>
      <c r="BL31" s="139">
        <f t="shared" si="17"/>
        <v>31380</v>
      </c>
      <c r="BU31" s="137" t="s">
        <v>104</v>
      </c>
      <c r="BV31" s="138">
        <v>1200</v>
      </c>
      <c r="BW31" s="138">
        <v>1200</v>
      </c>
      <c r="BX31" s="138">
        <v>60</v>
      </c>
      <c r="BY31" s="138">
        <v>60</v>
      </c>
      <c r="BZ31" s="138">
        <v>9000</v>
      </c>
      <c r="CA31" s="138">
        <v>0</v>
      </c>
      <c r="CB31" s="138">
        <v>300</v>
      </c>
      <c r="CC31" s="138">
        <v>60</v>
      </c>
      <c r="CD31" s="138">
        <v>200</v>
      </c>
      <c r="CE31" s="138">
        <v>0</v>
      </c>
      <c r="CF31" s="138">
        <v>0</v>
      </c>
      <c r="CG31" s="138">
        <v>1200</v>
      </c>
      <c r="CH31" s="139">
        <f>SUM(BV31:CG31)</f>
        <v>13280</v>
      </c>
      <c r="CK31" s="48" t="s">
        <v>795</v>
      </c>
      <c r="CL31" s="552" t="s">
        <v>10</v>
      </c>
      <c r="CM31" s="161"/>
      <c r="CN31" s="637">
        <v>22404.826666666664</v>
      </c>
      <c r="CO31" s="1"/>
      <c r="CP31" s="638">
        <v>22404.826666666664</v>
      </c>
      <c r="CQ31" s="229"/>
      <c r="CR31" s="229"/>
      <c r="CT31" s="637">
        <v>22404.826666666664</v>
      </c>
    </row>
    <row r="32" spans="3:102" s="2" customFormat="1" ht="12" customHeight="1" thickBot="1" x14ac:dyDescent="0.25">
      <c r="C32" s="932" t="s">
        <v>20</v>
      </c>
      <c r="D32" s="933"/>
      <c r="E32" s="933"/>
      <c r="F32" s="934"/>
      <c r="G32" s="531">
        <f ca="1">G26/CX19</f>
        <v>2990</v>
      </c>
      <c r="H32" s="31"/>
      <c r="I32" s="768" t="s">
        <v>379</v>
      </c>
      <c r="J32" s="52"/>
      <c r="K32" s="964">
        <f>G55</f>
        <v>0</v>
      </c>
      <c r="L32" s="965"/>
      <c r="M32" s="966"/>
      <c r="AE32" s="945" t="s">
        <v>102</v>
      </c>
      <c r="AF32" s="946"/>
      <c r="AG32" s="946"/>
      <c r="AH32" s="946"/>
      <c r="AI32" s="946"/>
      <c r="AJ32" s="946"/>
      <c r="AK32" s="946"/>
      <c r="AL32" s="946"/>
      <c r="AM32" s="946"/>
      <c r="AN32" s="946"/>
      <c r="AO32" s="946"/>
      <c r="AP32" s="946"/>
      <c r="AQ32" s="946"/>
      <c r="AR32" s="946"/>
      <c r="AS32" s="946"/>
      <c r="AT32" s="946"/>
      <c r="AU32" s="947"/>
      <c r="AZ32" s="1"/>
      <c r="BA32" s="140" t="s">
        <v>457</v>
      </c>
      <c r="BB32" s="141">
        <v>32400</v>
      </c>
      <c r="BC32" s="141">
        <v>6600</v>
      </c>
      <c r="BD32" s="141">
        <v>1000</v>
      </c>
      <c r="BE32" s="141">
        <v>900</v>
      </c>
      <c r="BF32" s="141">
        <v>180</v>
      </c>
      <c r="BG32" s="141">
        <v>600</v>
      </c>
      <c r="BH32" s="141">
        <v>300</v>
      </c>
      <c r="BI32" s="141">
        <v>0</v>
      </c>
      <c r="BJ32" s="141">
        <v>0</v>
      </c>
      <c r="BK32" s="141">
        <v>0</v>
      </c>
      <c r="BL32" s="139">
        <f t="shared" si="17"/>
        <v>41980</v>
      </c>
      <c r="BU32" s="140" t="s">
        <v>105</v>
      </c>
      <c r="BV32" s="141">
        <v>2400</v>
      </c>
      <c r="BW32" s="141">
        <v>2400</v>
      </c>
      <c r="BX32" s="141">
        <v>120</v>
      </c>
      <c r="BY32" s="141">
        <v>120</v>
      </c>
      <c r="BZ32" s="141">
        <v>16200</v>
      </c>
      <c r="CA32" s="141">
        <v>0</v>
      </c>
      <c r="CB32" s="141">
        <v>300</v>
      </c>
      <c r="CC32" s="141">
        <v>60</v>
      </c>
      <c r="CD32" s="141">
        <v>400</v>
      </c>
      <c r="CE32" s="141">
        <v>500</v>
      </c>
      <c r="CF32" s="141">
        <v>0</v>
      </c>
      <c r="CG32" s="141">
        <v>1200</v>
      </c>
      <c r="CH32" s="139">
        <f t="shared" ref="CH32:CH36" si="18">SUM(BV32:CG32)</f>
        <v>23700</v>
      </c>
      <c r="CK32" s="54"/>
      <c r="CL32" s="117"/>
      <c r="CM32" s="161"/>
      <c r="CN32" s="639"/>
      <c r="CO32" s="1"/>
      <c r="CP32" s="385"/>
      <c r="CQ32" s="15"/>
      <c r="CR32" s="15"/>
      <c r="CT32" s="261"/>
    </row>
    <row r="33" spans="1:98" s="2" customFormat="1" ht="12" customHeight="1" thickBot="1" x14ac:dyDescent="0.25">
      <c r="C33" s="935" t="s">
        <v>2</v>
      </c>
      <c r="D33" s="936"/>
      <c r="E33" s="936"/>
      <c r="F33" s="937"/>
      <c r="G33" s="531">
        <f>AA228</f>
        <v>15800</v>
      </c>
      <c r="H33" s="82" t="s">
        <v>47</v>
      </c>
      <c r="I33" s="768" t="s">
        <v>380</v>
      </c>
      <c r="J33" s="52"/>
      <c r="K33" s="919">
        <f>G62</f>
        <v>0</v>
      </c>
      <c r="L33" s="920"/>
      <c r="M33" s="921"/>
      <c r="AE33" s="134" t="s">
        <v>103</v>
      </c>
      <c r="AF33" s="135" t="s">
        <v>553</v>
      </c>
      <c r="AG33" s="135" t="s">
        <v>554</v>
      </c>
      <c r="AH33" s="135" t="s">
        <v>555</v>
      </c>
      <c r="AI33" s="135" t="s">
        <v>556</v>
      </c>
      <c r="AJ33" s="135" t="s">
        <v>557</v>
      </c>
      <c r="AK33" s="135" t="s">
        <v>558</v>
      </c>
      <c r="AL33" s="135" t="s">
        <v>559</v>
      </c>
      <c r="AM33" s="135" t="s">
        <v>560</v>
      </c>
      <c r="AN33" s="135" t="s">
        <v>561</v>
      </c>
      <c r="AO33" s="135" t="s">
        <v>563</v>
      </c>
      <c r="AP33" s="135" t="s">
        <v>564</v>
      </c>
      <c r="AQ33" s="135" t="s">
        <v>565</v>
      </c>
      <c r="AR33" s="135" t="s">
        <v>566</v>
      </c>
      <c r="AS33" s="135" t="s">
        <v>567</v>
      </c>
      <c r="AT33" s="135" t="s">
        <v>568</v>
      </c>
      <c r="AU33" s="136" t="s">
        <v>179</v>
      </c>
      <c r="AZ33" s="1"/>
      <c r="BA33" s="140" t="s">
        <v>108</v>
      </c>
      <c r="BB33" s="141">
        <v>48600</v>
      </c>
      <c r="BC33" s="141">
        <v>8800</v>
      </c>
      <c r="BD33" s="141">
        <v>1000</v>
      </c>
      <c r="BE33" s="141">
        <v>1200</v>
      </c>
      <c r="BF33" s="141">
        <v>240</v>
      </c>
      <c r="BG33" s="141">
        <v>800</v>
      </c>
      <c r="BH33" s="141">
        <v>300</v>
      </c>
      <c r="BI33" s="141">
        <v>0</v>
      </c>
      <c r="BJ33" s="141">
        <v>0</v>
      </c>
      <c r="BK33" s="141">
        <v>0</v>
      </c>
      <c r="BL33" s="139">
        <f t="shared" si="17"/>
        <v>60940</v>
      </c>
      <c r="BU33" s="140" t="s">
        <v>106</v>
      </c>
      <c r="BV33" s="141">
        <v>2400</v>
      </c>
      <c r="BW33" s="141">
        <v>2400</v>
      </c>
      <c r="BX33" s="141">
        <v>120</v>
      </c>
      <c r="BY33" s="141">
        <v>120</v>
      </c>
      <c r="BZ33" s="141">
        <v>21600</v>
      </c>
      <c r="CA33" s="141">
        <v>0</v>
      </c>
      <c r="CB33" s="141">
        <v>600</v>
      </c>
      <c r="CC33" s="141">
        <v>120</v>
      </c>
      <c r="CD33" s="141">
        <v>400</v>
      </c>
      <c r="CE33" s="141">
        <v>300</v>
      </c>
      <c r="CF33" s="141">
        <v>0</v>
      </c>
      <c r="CG33" s="141">
        <v>1200</v>
      </c>
      <c r="CH33" s="139">
        <f t="shared" si="18"/>
        <v>29260</v>
      </c>
      <c r="CK33" s="19"/>
      <c r="CL33" s="117"/>
      <c r="CM33" s="640" t="s">
        <v>797</v>
      </c>
      <c r="CN33" s="636">
        <v>92986.493333333317</v>
      </c>
      <c r="CO33" s="1"/>
      <c r="CP33" s="604">
        <f>SUM(CP17:CP31)</f>
        <v>92986.493333333317</v>
      </c>
      <c r="CQ33" s="597"/>
      <c r="CR33" s="597"/>
      <c r="CT33" s="595">
        <f>SUM(CT17:CT31)</f>
        <v>92986.493333333317</v>
      </c>
    </row>
    <row r="34" spans="1:98" s="2" customFormat="1" ht="12" customHeight="1" thickBot="1" x14ac:dyDescent="0.25">
      <c r="C34" s="938" t="s">
        <v>46</v>
      </c>
      <c r="D34" s="939"/>
      <c r="E34" s="939"/>
      <c r="F34" s="940"/>
      <c r="G34" s="531">
        <f ca="1">I26-(G31+G32+G33)</f>
        <v>25394.819819819822</v>
      </c>
      <c r="H34" s="31"/>
      <c r="I34" s="768" t="s">
        <v>381</v>
      </c>
      <c r="J34" s="52"/>
      <c r="K34" s="922">
        <f>G64+G65+G67</f>
        <v>0</v>
      </c>
      <c r="L34" s="923"/>
      <c r="M34" s="924"/>
      <c r="AE34" s="137" t="s">
        <v>458</v>
      </c>
      <c r="AF34" s="138">
        <v>10800</v>
      </c>
      <c r="AG34" s="138">
        <v>1200</v>
      </c>
      <c r="AH34" s="138">
        <v>1200</v>
      </c>
      <c r="AI34" s="138">
        <v>1200</v>
      </c>
      <c r="AJ34" s="138">
        <v>300</v>
      </c>
      <c r="AK34" s="138">
        <v>1200</v>
      </c>
      <c r="AL34" s="138">
        <v>120</v>
      </c>
      <c r="AM34" s="138">
        <v>1100</v>
      </c>
      <c r="AN34" s="138">
        <v>450</v>
      </c>
      <c r="AO34" s="138">
        <v>100</v>
      </c>
      <c r="AP34" s="138">
        <v>0</v>
      </c>
      <c r="AQ34" s="138">
        <v>0</v>
      </c>
      <c r="AR34" s="138">
        <v>0</v>
      </c>
      <c r="AS34" s="138">
        <v>0</v>
      </c>
      <c r="AT34" s="138">
        <v>1200</v>
      </c>
      <c r="AU34" s="139">
        <f>SUM(AF34:AT34)</f>
        <v>18870</v>
      </c>
      <c r="AZ34" s="1"/>
      <c r="BA34" s="142" t="s">
        <v>109</v>
      </c>
      <c r="BB34" s="143">
        <v>64800</v>
      </c>
      <c r="BC34" s="143">
        <v>9900</v>
      </c>
      <c r="BD34" s="143">
        <v>1000</v>
      </c>
      <c r="BE34" s="143">
        <v>1800</v>
      </c>
      <c r="BF34" s="143">
        <v>360</v>
      </c>
      <c r="BG34" s="143">
        <v>1200</v>
      </c>
      <c r="BH34" s="143">
        <v>450</v>
      </c>
      <c r="BI34" s="143">
        <v>0</v>
      </c>
      <c r="BJ34" s="143">
        <v>0</v>
      </c>
      <c r="BK34" s="143">
        <v>0</v>
      </c>
      <c r="BL34" s="139">
        <f t="shared" si="17"/>
        <v>79510</v>
      </c>
      <c r="BT34" s="1"/>
      <c r="BU34" s="140" t="s">
        <v>107</v>
      </c>
      <c r="BV34" s="141">
        <v>4800</v>
      </c>
      <c r="BW34" s="141">
        <v>7200</v>
      </c>
      <c r="BX34" s="141">
        <v>240</v>
      </c>
      <c r="BY34" s="141">
        <v>360</v>
      </c>
      <c r="BZ34" s="141">
        <v>27000</v>
      </c>
      <c r="CA34" s="141">
        <v>0</v>
      </c>
      <c r="CB34" s="141">
        <v>900</v>
      </c>
      <c r="CC34" s="141">
        <v>180</v>
      </c>
      <c r="CD34" s="141">
        <v>600</v>
      </c>
      <c r="CE34" s="141">
        <v>0</v>
      </c>
      <c r="CF34" s="141">
        <v>0</v>
      </c>
      <c r="CG34" s="141">
        <v>1200</v>
      </c>
      <c r="CH34" s="139">
        <f t="shared" si="18"/>
        <v>42480</v>
      </c>
      <c r="CI34" s="1"/>
      <c r="CK34" s="256" t="s">
        <v>937</v>
      </c>
      <c r="CL34" s="161"/>
      <c r="CM34" s="161"/>
      <c r="CN34" s="641">
        <v>0.11</v>
      </c>
      <c r="CO34" s="1"/>
      <c r="CP34" s="385">
        <v>0.11</v>
      </c>
      <c r="CQ34" s="15"/>
      <c r="CR34" s="15"/>
      <c r="CT34" s="261">
        <v>0.11</v>
      </c>
    </row>
    <row r="35" spans="1:98" s="2" customFormat="1" ht="6.75" hidden="1" customHeight="1" thickBot="1" x14ac:dyDescent="0.25">
      <c r="C35" s="33"/>
      <c r="D35" s="34"/>
      <c r="E35" s="34"/>
      <c r="F35" s="35"/>
      <c r="G35" s="36"/>
      <c r="H35" s="37"/>
      <c r="I35" s="30"/>
      <c r="J35" s="15"/>
      <c r="AE35" s="140" t="s">
        <v>569</v>
      </c>
      <c r="AF35" s="141">
        <v>18000</v>
      </c>
      <c r="AG35" s="141">
        <v>2400</v>
      </c>
      <c r="AH35" s="141">
        <v>1200</v>
      </c>
      <c r="AI35" s="141">
        <v>2400</v>
      </c>
      <c r="AJ35" s="141">
        <v>600</v>
      </c>
      <c r="AK35" s="141">
        <v>1200</v>
      </c>
      <c r="AL35" s="141">
        <v>120</v>
      </c>
      <c r="AM35" s="141">
        <v>2200</v>
      </c>
      <c r="AN35" s="141">
        <v>600</v>
      </c>
      <c r="AO35" s="141">
        <v>300</v>
      </c>
      <c r="AP35" s="141">
        <v>1500</v>
      </c>
      <c r="AQ35" s="141">
        <v>0</v>
      </c>
      <c r="AR35" s="141">
        <v>600</v>
      </c>
      <c r="AS35" s="141">
        <v>0</v>
      </c>
      <c r="AT35" s="141">
        <v>1520</v>
      </c>
      <c r="AU35" s="139">
        <f>SUM(AF35:AT35)</f>
        <v>32640</v>
      </c>
      <c r="AZ35" s="1"/>
      <c r="BA35" s="948" t="s">
        <v>110</v>
      </c>
      <c r="BB35" s="949"/>
      <c r="BC35" s="949"/>
      <c r="BD35" s="949"/>
      <c r="BE35" s="949"/>
      <c r="BF35" s="949"/>
      <c r="BG35" s="949"/>
      <c r="BH35" s="949"/>
      <c r="BI35" s="949"/>
      <c r="BJ35" s="949"/>
      <c r="BK35" s="949"/>
      <c r="BL35" s="950"/>
      <c r="BT35" s="1"/>
      <c r="BU35" s="140" t="s">
        <v>108</v>
      </c>
      <c r="BV35" s="141">
        <v>7200</v>
      </c>
      <c r="BW35" s="141">
        <v>10800</v>
      </c>
      <c r="BX35" s="141">
        <v>360</v>
      </c>
      <c r="BY35" s="141">
        <v>540</v>
      </c>
      <c r="BZ35" s="141">
        <v>40500</v>
      </c>
      <c r="CA35" s="141">
        <v>0</v>
      </c>
      <c r="CB35" s="141">
        <v>1200</v>
      </c>
      <c r="CC35" s="141">
        <v>240</v>
      </c>
      <c r="CD35" s="141">
        <v>800</v>
      </c>
      <c r="CE35" s="141">
        <v>0</v>
      </c>
      <c r="CF35" s="141">
        <v>0</v>
      </c>
      <c r="CG35" s="141">
        <v>1200</v>
      </c>
      <c r="CH35" s="139">
        <f t="shared" si="18"/>
        <v>62840</v>
      </c>
      <c r="CI35" s="1"/>
      <c r="CK35" s="25"/>
      <c r="CL35" s="117"/>
      <c r="CM35" s="640" t="s">
        <v>938</v>
      </c>
      <c r="CN35" s="636">
        <v>103215.00759999998</v>
      </c>
      <c r="CO35" s="1"/>
      <c r="CP35" s="642">
        <v>103215.00759999998</v>
      </c>
      <c r="CQ35" s="643"/>
      <c r="CR35" s="643"/>
      <c r="CT35" s="644">
        <v>103215.00759999998</v>
      </c>
    </row>
    <row r="36" spans="1:98" s="2" customFormat="1" ht="12" customHeight="1" thickBot="1" x14ac:dyDescent="0.25">
      <c r="C36" s="38"/>
      <c r="D36" s="39"/>
      <c r="E36" s="39"/>
      <c r="F36" s="258" t="s">
        <v>402</v>
      </c>
      <c r="G36" s="821">
        <f ca="1">SUM(G31:G34)</f>
        <v>92986.486486486479</v>
      </c>
      <c r="H36" s="460"/>
      <c r="I36" s="15"/>
      <c r="J36" s="15"/>
      <c r="K36" s="907">
        <f>SUM(K31:M35)</f>
        <v>0</v>
      </c>
      <c r="L36" s="925"/>
      <c r="M36" s="908"/>
      <c r="AE36" s="140" t="s">
        <v>570</v>
      </c>
      <c r="AF36" s="141">
        <v>28800</v>
      </c>
      <c r="AG36" s="141">
        <v>4800</v>
      </c>
      <c r="AH36" s="141">
        <v>2400</v>
      </c>
      <c r="AI36" s="141">
        <v>3600</v>
      </c>
      <c r="AJ36" s="141">
        <v>1600</v>
      </c>
      <c r="AK36" s="141">
        <v>1600</v>
      </c>
      <c r="AL36" s="141">
        <v>300</v>
      </c>
      <c r="AM36" s="141">
        <v>3300</v>
      </c>
      <c r="AN36" s="141">
        <v>750</v>
      </c>
      <c r="AO36" s="141">
        <v>600</v>
      </c>
      <c r="AP36" s="141">
        <v>1500</v>
      </c>
      <c r="AQ36" s="141">
        <v>0</v>
      </c>
      <c r="AR36" s="141">
        <v>750</v>
      </c>
      <c r="AS36" s="141">
        <v>0</v>
      </c>
      <c r="AT36" s="141">
        <v>2072</v>
      </c>
      <c r="AU36" s="139">
        <f>SUM(AF36:AT36)</f>
        <v>52072</v>
      </c>
      <c r="AZ36" s="1"/>
      <c r="BA36" s="1"/>
      <c r="BB36" s="1"/>
      <c r="BC36" s="1"/>
      <c r="BD36" s="1"/>
      <c r="BE36" s="1"/>
      <c r="BF36" s="1"/>
      <c r="BG36" s="1"/>
      <c r="BH36" s="1"/>
      <c r="BI36" s="1"/>
      <c r="BJ36" s="1"/>
      <c r="BK36" s="1"/>
      <c r="BL36" s="1"/>
      <c r="BT36" s="1"/>
      <c r="BU36" s="142" t="s">
        <v>109</v>
      </c>
      <c r="BV36" s="143">
        <v>7200</v>
      </c>
      <c r="BW36" s="143">
        <v>14400</v>
      </c>
      <c r="BX36" s="143">
        <v>360</v>
      </c>
      <c r="BY36" s="143">
        <v>720</v>
      </c>
      <c r="BZ36" s="143">
        <v>55800</v>
      </c>
      <c r="CA36" s="143">
        <v>0</v>
      </c>
      <c r="CB36" s="143">
        <v>1500</v>
      </c>
      <c r="CC36" s="143">
        <v>300</v>
      </c>
      <c r="CD36" s="143">
        <v>1000</v>
      </c>
      <c r="CE36" s="143">
        <v>0</v>
      </c>
      <c r="CF36" s="143">
        <v>0</v>
      </c>
      <c r="CG36" s="143">
        <v>1200</v>
      </c>
      <c r="CH36" s="144">
        <f t="shared" si="18"/>
        <v>82480</v>
      </c>
      <c r="CI36" s="1"/>
      <c r="CK36" s="25"/>
      <c r="CL36" s="161"/>
      <c r="CM36" s="161"/>
      <c r="CN36" s="636"/>
      <c r="CO36" s="1"/>
    </row>
    <row r="37" spans="1:98" s="2" customFormat="1" ht="12" customHeight="1" thickBot="1" x14ac:dyDescent="0.25">
      <c r="C37" s="38"/>
      <c r="D37" s="39"/>
      <c r="E37" s="39"/>
      <c r="F37" s="40" t="s">
        <v>429</v>
      </c>
      <c r="G37" s="461">
        <v>0.11</v>
      </c>
      <c r="H37" s="462"/>
      <c r="I37" s="15"/>
      <c r="J37" s="15"/>
      <c r="K37" s="461"/>
      <c r="L37" s="465"/>
      <c r="M37" s="462"/>
      <c r="AD37" s="1"/>
      <c r="AE37" s="140" t="s">
        <v>571</v>
      </c>
      <c r="AF37" s="141">
        <v>36000</v>
      </c>
      <c r="AG37" s="141">
        <v>7200</v>
      </c>
      <c r="AH37" s="141">
        <v>3600</v>
      </c>
      <c r="AI37" s="141">
        <v>3600</v>
      </c>
      <c r="AJ37" s="141">
        <v>2400</v>
      </c>
      <c r="AK37" s="141">
        <v>3000</v>
      </c>
      <c r="AL37" s="141">
        <v>300</v>
      </c>
      <c r="AM37" s="141">
        <v>3300</v>
      </c>
      <c r="AN37" s="141">
        <v>900</v>
      </c>
      <c r="AO37" s="141">
        <v>1000</v>
      </c>
      <c r="AP37" s="141">
        <v>3000</v>
      </c>
      <c r="AQ37" s="141">
        <v>0</v>
      </c>
      <c r="AR37" s="141">
        <v>0</v>
      </c>
      <c r="AS37" s="141">
        <v>1400</v>
      </c>
      <c r="AT37" s="141">
        <v>2200</v>
      </c>
      <c r="AU37" s="139">
        <f>SUM(AF37:AT37)</f>
        <v>67900</v>
      </c>
      <c r="AZ37" s="1"/>
      <c r="BA37" s="1"/>
      <c r="BB37" s="1"/>
      <c r="BC37" s="1"/>
      <c r="BD37" s="1"/>
      <c r="BE37" s="1"/>
      <c r="BF37" s="1"/>
      <c r="BG37" s="1"/>
      <c r="BH37" s="1"/>
      <c r="BI37" s="1"/>
      <c r="BJ37" s="1"/>
      <c r="BT37" s="1"/>
      <c r="BU37" s="948" t="s">
        <v>110</v>
      </c>
      <c r="BV37" s="949"/>
      <c r="BW37" s="949"/>
      <c r="BX37" s="949"/>
      <c r="BY37" s="949"/>
      <c r="BZ37" s="949"/>
      <c r="CA37" s="949"/>
      <c r="CB37" s="949"/>
      <c r="CC37" s="949"/>
      <c r="CD37" s="949"/>
      <c r="CE37" s="949"/>
      <c r="CF37" s="949"/>
      <c r="CG37" s="949"/>
      <c r="CH37" s="950"/>
      <c r="CK37" s="645" t="s">
        <v>12</v>
      </c>
      <c r="CL37" s="646"/>
      <c r="CM37" s="166"/>
      <c r="CN37" s="633">
        <v>-7.599999982630834E-3</v>
      </c>
      <c r="CO37" s="1"/>
    </row>
    <row r="38" spans="1:98" ht="12" customHeight="1" thickBot="1" x14ac:dyDescent="0.25">
      <c r="A38" s="2"/>
      <c r="B38" s="2"/>
      <c r="C38" s="41"/>
      <c r="D38" s="42"/>
      <c r="E38" s="42"/>
      <c r="F38" s="259" t="s">
        <v>373</v>
      </c>
      <c r="G38" s="822">
        <f ca="1">(G36*G37)+G36</f>
        <v>103215</v>
      </c>
      <c r="H38" s="463"/>
      <c r="I38" s="15"/>
      <c r="J38" s="15"/>
      <c r="K38" s="911">
        <f>G70</f>
        <v>0</v>
      </c>
      <c r="L38" s="927"/>
      <c r="M38" s="912"/>
      <c r="N38" s="2"/>
      <c r="O38" s="2"/>
      <c r="P38" s="2"/>
      <c r="Q38" s="2"/>
      <c r="R38" s="2"/>
      <c r="S38" s="2"/>
      <c r="T38" s="2"/>
      <c r="U38" s="2"/>
      <c r="V38" s="2"/>
      <c r="W38" s="2"/>
      <c r="X38" s="2"/>
      <c r="Y38" s="2"/>
      <c r="Z38" s="2"/>
      <c r="AA38" s="2"/>
      <c r="AB38" s="2"/>
      <c r="AC38" s="2"/>
      <c r="AE38" s="142" t="s">
        <v>575</v>
      </c>
      <c r="AF38" s="143">
        <v>50400</v>
      </c>
      <c r="AG38" s="143">
        <v>9600</v>
      </c>
      <c r="AH38" s="143">
        <v>9600</v>
      </c>
      <c r="AI38" s="143">
        <v>4800</v>
      </c>
      <c r="AJ38" s="143">
        <v>3200</v>
      </c>
      <c r="AK38" s="143">
        <v>2400</v>
      </c>
      <c r="AL38" s="143">
        <v>240</v>
      </c>
      <c r="AM38" s="143">
        <v>4400</v>
      </c>
      <c r="AN38" s="143">
        <v>1200</v>
      </c>
      <c r="AO38" s="143">
        <v>1500</v>
      </c>
      <c r="AP38" s="143">
        <v>3000</v>
      </c>
      <c r="AQ38" s="143">
        <v>0</v>
      </c>
      <c r="AR38" s="143">
        <v>900</v>
      </c>
      <c r="AS38" s="143">
        <v>1610</v>
      </c>
      <c r="AT38" s="143">
        <v>2400</v>
      </c>
      <c r="AU38" s="139">
        <f>SUM(AF38:AT38)</f>
        <v>95250</v>
      </c>
      <c r="AZ38" s="2"/>
      <c r="BA38" s="2"/>
      <c r="BB38" s="2"/>
      <c r="BC38" s="2"/>
      <c r="BD38" s="2"/>
      <c r="BE38" s="2"/>
      <c r="BF38" s="2"/>
      <c r="BG38" s="2"/>
      <c r="BH38" s="2"/>
      <c r="BI38" s="2"/>
      <c r="BJ38" s="2"/>
      <c r="BK38" s="2"/>
      <c r="BL38" s="2"/>
      <c r="BM38" s="2"/>
      <c r="BN38" s="2"/>
      <c r="BO38" s="2"/>
      <c r="BP38" s="2"/>
      <c r="BQ38" s="2"/>
      <c r="CG38" s="2"/>
      <c r="CH38" s="2"/>
      <c r="CI38" s="2"/>
      <c r="CJ38" s="2"/>
      <c r="CK38" s="2"/>
      <c r="CL38" s="2"/>
      <c r="CM38" s="2"/>
      <c r="CN38" s="2"/>
    </row>
    <row r="39" spans="1:98" ht="12" customHeight="1" thickBot="1" x14ac:dyDescent="0.25">
      <c r="A39" s="2"/>
      <c r="B39" s="2"/>
      <c r="C39" s="15"/>
      <c r="D39" s="15"/>
      <c r="E39" s="15"/>
      <c r="F39" s="43"/>
      <c r="G39" s="459"/>
      <c r="H39" s="459"/>
      <c r="I39" s="15"/>
      <c r="J39" s="15"/>
      <c r="K39" s="2"/>
      <c r="L39" s="2"/>
      <c r="M39" s="2"/>
      <c r="N39" s="2"/>
      <c r="O39" s="2"/>
      <c r="P39" s="2"/>
      <c r="Q39" s="2"/>
      <c r="R39" s="2"/>
      <c r="S39" s="2"/>
      <c r="T39" s="2"/>
      <c r="U39" s="2"/>
      <c r="V39" s="2"/>
      <c r="W39" s="2"/>
      <c r="X39" s="2"/>
      <c r="Y39" s="2"/>
      <c r="Z39" s="2"/>
      <c r="AA39" s="2"/>
      <c r="AB39" s="2"/>
      <c r="AC39" s="2"/>
      <c r="AE39" s="948" t="s">
        <v>110</v>
      </c>
      <c r="AF39" s="949"/>
      <c r="AG39" s="949"/>
      <c r="AH39" s="949"/>
      <c r="AI39" s="949"/>
      <c r="AJ39" s="949"/>
      <c r="AK39" s="949"/>
      <c r="AL39" s="949"/>
      <c r="AM39" s="949"/>
      <c r="AN39" s="949"/>
      <c r="AO39" s="949"/>
      <c r="AP39" s="949"/>
      <c r="AQ39" s="949"/>
      <c r="AR39" s="949"/>
      <c r="AS39" s="949"/>
      <c r="AT39" s="949"/>
      <c r="AU39" s="950"/>
      <c r="AV39" s="2"/>
      <c r="AZ39" s="2"/>
      <c r="BA39" s="2"/>
      <c r="BB39" s="2"/>
      <c r="BC39" s="2"/>
      <c r="BD39" s="2"/>
      <c r="BE39" s="2"/>
      <c r="BF39" s="2"/>
      <c r="BG39" s="2"/>
      <c r="BH39" s="2"/>
      <c r="BI39" s="2"/>
      <c r="BJ39" s="2"/>
      <c r="BK39" s="2"/>
      <c r="BL39" s="2"/>
      <c r="BM39" s="2"/>
      <c r="BN39" s="2"/>
      <c r="BO39" s="2"/>
      <c r="BP39" s="2"/>
      <c r="BQ39" s="2"/>
      <c r="BT39" s="2"/>
      <c r="BU39" s="2"/>
      <c r="BV39" s="2"/>
      <c r="BW39" s="2"/>
      <c r="BX39" s="2"/>
      <c r="BY39" s="2"/>
      <c r="BZ39" s="2"/>
      <c r="CA39" s="2"/>
      <c r="CB39" s="2"/>
      <c r="CC39" s="2"/>
      <c r="CD39" s="2"/>
      <c r="CE39" s="2"/>
      <c r="CF39" s="2"/>
      <c r="CG39" s="2"/>
      <c r="CH39" s="2"/>
      <c r="CI39" s="2"/>
      <c r="CJ39" s="2"/>
      <c r="CK39" s="2"/>
      <c r="CL39" s="2"/>
      <c r="CM39" s="2"/>
      <c r="CN39" s="2"/>
    </row>
    <row r="40" spans="1:98" ht="12" customHeight="1" x14ac:dyDescent="0.2">
      <c r="A40" s="2"/>
      <c r="B40" s="2"/>
      <c r="C40" s="2"/>
      <c r="D40" s="2"/>
      <c r="E40" s="2"/>
      <c r="F40" s="2"/>
      <c r="G40" s="2"/>
      <c r="H40" s="2"/>
      <c r="I40" s="15"/>
      <c r="J40" s="91"/>
      <c r="K40" s="254" t="s">
        <v>12</v>
      </c>
      <c r="L40" s="94">
        <f ca="1">G76</f>
        <v>-103215</v>
      </c>
      <c r="M40" s="52"/>
      <c r="N40" s="2"/>
      <c r="O40" s="2"/>
      <c r="P40" s="2"/>
      <c r="Q40" s="2"/>
      <c r="R40" s="2"/>
      <c r="S40" s="2"/>
      <c r="T40" s="2"/>
      <c r="U40" s="2"/>
      <c r="V40" s="2"/>
      <c r="W40" s="2"/>
      <c r="X40" s="2"/>
      <c r="Y40" s="2"/>
      <c r="Z40" s="2"/>
      <c r="AA40" s="2"/>
      <c r="AB40" s="2"/>
      <c r="AC40" s="2"/>
      <c r="AT40" s="2"/>
      <c r="AU40" s="2"/>
      <c r="AZ40" s="2"/>
      <c r="BA40" s="2"/>
      <c r="BB40" s="2"/>
      <c r="BC40" s="2"/>
      <c r="BD40" s="2"/>
      <c r="BE40" s="2"/>
      <c r="BF40" s="2"/>
      <c r="BG40" s="2"/>
      <c r="BH40" s="122"/>
      <c r="BI40" s="122"/>
      <c r="BJ40" s="122"/>
      <c r="BK40" s="18"/>
      <c r="BL40" s="2"/>
      <c r="BM40" s="2"/>
      <c r="BN40" s="2"/>
      <c r="BO40" s="2"/>
      <c r="BP40" s="2"/>
      <c r="BQ40" s="2"/>
      <c r="BT40" s="2"/>
      <c r="BU40" s="2"/>
      <c r="BV40" s="2"/>
      <c r="BW40" s="2"/>
      <c r="BX40" s="2"/>
      <c r="BY40" s="2"/>
      <c r="BZ40" s="2"/>
      <c r="CA40" s="2"/>
      <c r="CB40" s="2"/>
      <c r="CC40" s="2"/>
      <c r="CD40" s="2"/>
      <c r="CE40" s="2"/>
      <c r="CF40" s="2"/>
      <c r="CG40" s="2"/>
      <c r="CH40" s="2"/>
      <c r="CI40" s="2"/>
      <c r="CJ40" s="2"/>
      <c r="CK40" s="2"/>
      <c r="CL40" s="2"/>
      <c r="CM40" s="2"/>
      <c r="CN40" s="2"/>
    </row>
    <row r="41" spans="1:98" ht="12" customHeight="1" x14ac:dyDescent="0.2">
      <c r="A41" s="269" t="s">
        <v>382</v>
      </c>
      <c r="B41" s="2"/>
      <c r="C41" s="900" t="s">
        <v>81</v>
      </c>
      <c r="D41" s="900"/>
      <c r="E41" s="900"/>
      <c r="F41" s="900"/>
      <c r="G41" s="900"/>
      <c r="H41" s="900"/>
      <c r="I41" s="900"/>
      <c r="J41" s="900"/>
      <c r="K41" s="900"/>
      <c r="L41" s="900"/>
      <c r="M41" s="900"/>
      <c r="N41" s="46"/>
      <c r="O41" s="46"/>
      <c r="P41" s="46"/>
      <c r="Q41" s="46"/>
      <c r="R41" s="46"/>
      <c r="S41" s="46"/>
      <c r="T41" s="46"/>
      <c r="U41" s="46"/>
      <c r="V41" s="46"/>
      <c r="W41" s="46"/>
      <c r="X41" s="46"/>
      <c r="Y41" s="46"/>
      <c r="Z41" s="46"/>
      <c r="AA41" s="46"/>
      <c r="AB41" s="46"/>
      <c r="AC41" s="2"/>
      <c r="AQ41" s="2"/>
      <c r="AR41" s="2"/>
      <c r="AS41" s="2"/>
      <c r="AT41" s="2"/>
      <c r="AU41" s="2"/>
      <c r="AZ41" s="2"/>
      <c r="BA41" s="2"/>
      <c r="BB41" s="2"/>
      <c r="BC41" s="2"/>
      <c r="BD41" s="2"/>
      <c r="BE41" s="2"/>
      <c r="BF41" s="2"/>
      <c r="BG41" s="2"/>
      <c r="BH41" s="122"/>
      <c r="BI41" s="122"/>
      <c r="BJ41" s="122"/>
      <c r="BK41" s="18"/>
      <c r="BL41" s="2"/>
      <c r="BM41" s="2"/>
      <c r="BN41" s="2"/>
      <c r="BO41" s="2"/>
      <c r="BP41" s="2"/>
      <c r="BQ41" s="2"/>
      <c r="BT41" s="2"/>
      <c r="BU41" s="2"/>
      <c r="BV41" s="2"/>
      <c r="BW41" s="2"/>
      <c r="BX41" s="2"/>
      <c r="BY41" s="2"/>
      <c r="BZ41" s="2"/>
      <c r="CA41" s="2"/>
      <c r="CB41" s="122"/>
      <c r="CC41" s="122"/>
      <c r="CD41" s="122"/>
      <c r="CE41" s="18"/>
      <c r="CF41" s="2"/>
      <c r="CG41" s="2"/>
      <c r="CH41" s="2"/>
      <c r="CI41" s="2"/>
      <c r="CJ41" s="2"/>
      <c r="CK41" s="2"/>
      <c r="CL41" s="2"/>
      <c r="CM41" s="2"/>
      <c r="CN41" s="2"/>
    </row>
    <row r="42" spans="1:98" ht="12" customHeight="1" x14ac:dyDescent="0.2">
      <c r="A42" s="269" t="s">
        <v>383</v>
      </c>
      <c r="B42" s="2"/>
      <c r="C42" s="900" t="s">
        <v>743</v>
      </c>
      <c r="D42" s="900"/>
      <c r="E42" s="900"/>
      <c r="F42" s="900"/>
      <c r="G42" s="900"/>
      <c r="H42" s="900"/>
      <c r="I42" s="900"/>
      <c r="J42" s="900"/>
      <c r="K42" s="900"/>
      <c r="L42" s="900"/>
      <c r="M42" s="900"/>
      <c r="N42" s="46"/>
      <c r="O42" s="46"/>
      <c r="P42" s="46"/>
      <c r="Q42" s="46"/>
      <c r="R42" s="46"/>
      <c r="S42" s="46"/>
      <c r="T42" s="46"/>
      <c r="U42" s="46"/>
      <c r="V42" s="46"/>
      <c r="W42" s="46"/>
      <c r="X42" s="46"/>
      <c r="Y42" s="46"/>
      <c r="Z42" s="46"/>
      <c r="AA42" s="46"/>
      <c r="AB42" s="46"/>
      <c r="AC42" s="2"/>
      <c r="AO42" s="2"/>
      <c r="AP42" s="2"/>
      <c r="AQ42" s="2"/>
      <c r="AR42" s="2"/>
      <c r="AS42" s="2"/>
      <c r="AT42" s="2"/>
      <c r="AU42" s="2"/>
      <c r="AZ42" s="2"/>
      <c r="BA42" s="2"/>
      <c r="BB42" s="2"/>
      <c r="BC42" s="2"/>
      <c r="BD42" s="2"/>
      <c r="BE42" s="2"/>
      <c r="BF42" s="2"/>
      <c r="BG42" s="2"/>
      <c r="BH42" s="122"/>
      <c r="BI42" s="122"/>
      <c r="BJ42" s="122"/>
      <c r="BK42" s="18"/>
      <c r="BL42" s="2"/>
      <c r="BM42" s="2"/>
      <c r="BN42" s="2"/>
      <c r="BO42" s="2"/>
      <c r="BP42" s="2"/>
      <c r="BQ42" s="2"/>
      <c r="BT42" s="2"/>
      <c r="BU42" s="2"/>
      <c r="BV42" s="2"/>
      <c r="BW42" s="2"/>
      <c r="BX42" s="2"/>
      <c r="BY42" s="2"/>
      <c r="BZ42" s="2"/>
      <c r="CA42" s="2"/>
      <c r="CB42" s="122"/>
      <c r="CC42" s="122"/>
      <c r="CD42" s="122"/>
      <c r="CE42" s="18"/>
      <c r="CF42" s="2"/>
      <c r="CG42" s="2"/>
      <c r="CH42" s="2"/>
      <c r="CI42" s="2"/>
      <c r="CJ42" s="2"/>
      <c r="CK42" s="2"/>
      <c r="CL42" s="2"/>
      <c r="CM42" s="2"/>
      <c r="CN42" s="2"/>
    </row>
    <row r="43" spans="1:98" s="2" customFormat="1" ht="12" customHeight="1" x14ac:dyDescent="0.2">
      <c r="A43" s="270" t="s">
        <v>410</v>
      </c>
      <c r="C43" s="928" t="s">
        <v>800</v>
      </c>
      <c r="D43" s="928"/>
      <c r="E43" s="928"/>
      <c r="F43" s="928"/>
      <c r="G43" s="928"/>
      <c r="H43" s="928"/>
      <c r="I43" s="928"/>
      <c r="J43" s="928"/>
      <c r="K43" s="928"/>
      <c r="L43" s="928"/>
      <c r="M43" s="928"/>
      <c r="N43" s="46"/>
      <c r="O43" s="46"/>
      <c r="P43" s="46"/>
      <c r="Q43" s="46"/>
      <c r="R43" s="46"/>
      <c r="S43" s="46"/>
      <c r="T43" s="46"/>
      <c r="U43" s="46"/>
      <c r="V43" s="46"/>
      <c r="W43" s="46"/>
      <c r="X43" s="46"/>
      <c r="Y43" s="46"/>
      <c r="Z43" s="46"/>
      <c r="AA43" s="46"/>
      <c r="AB43" s="46"/>
      <c r="BH43" s="122"/>
      <c r="BI43" s="122"/>
      <c r="BJ43" s="122"/>
      <c r="CB43" s="122"/>
      <c r="CC43" s="122"/>
      <c r="CD43" s="122"/>
      <c r="CE43" s="18"/>
    </row>
    <row r="44" spans="1:98" s="2" customFormat="1" ht="12" customHeight="1" thickBot="1" x14ac:dyDescent="0.25">
      <c r="C44" s="928"/>
      <c r="D44" s="928"/>
      <c r="E44" s="928"/>
      <c r="F44" s="928"/>
      <c r="G44" s="928"/>
      <c r="H44" s="928"/>
      <c r="I44" s="928"/>
      <c r="J44" s="928"/>
      <c r="K44" s="928"/>
      <c r="L44" s="928"/>
      <c r="M44" s="928"/>
      <c r="BH44" s="122"/>
      <c r="BI44" s="122"/>
      <c r="BJ44" s="122"/>
      <c r="CB44" s="122"/>
      <c r="CC44" s="122"/>
      <c r="CD44" s="122"/>
    </row>
    <row r="45" spans="1:98" s="2" customFormat="1" ht="12" customHeight="1" x14ac:dyDescent="0.2">
      <c r="C45" s="928"/>
      <c r="D45" s="928"/>
      <c r="E45" s="928"/>
      <c r="F45" s="928"/>
      <c r="G45" s="928"/>
      <c r="H45" s="928"/>
      <c r="I45" s="928"/>
      <c r="J45" s="928"/>
      <c r="K45" s="928"/>
      <c r="L45" s="928"/>
      <c r="M45" s="928"/>
      <c r="AD45" s="1011" t="s">
        <v>802</v>
      </c>
      <c r="AE45" s="1012"/>
      <c r="AF45" s="1012"/>
      <c r="AG45" s="1012"/>
      <c r="AH45" s="1013"/>
      <c r="AK45" s="122"/>
      <c r="AL45" s="122"/>
      <c r="AM45" s="122"/>
      <c r="AN45" s="122"/>
      <c r="AO45" s="18"/>
      <c r="BH45" s="122"/>
      <c r="BI45" s="122"/>
      <c r="BJ45" s="122"/>
      <c r="CB45" s="122"/>
      <c r="CC45" s="122"/>
      <c r="CD45" s="122"/>
    </row>
    <row r="46" spans="1:98" s="2" customFormat="1" ht="12" customHeight="1" thickBot="1" x14ac:dyDescent="0.25">
      <c r="A46" s="269" t="s">
        <v>384</v>
      </c>
      <c r="C46" s="984" t="s">
        <v>798</v>
      </c>
      <c r="D46" s="984"/>
      <c r="E46" s="984"/>
      <c r="F46" s="984"/>
      <c r="G46" s="984"/>
      <c r="H46" s="984"/>
      <c r="I46" s="984"/>
      <c r="J46" s="984"/>
      <c r="K46" s="984"/>
      <c r="L46" s="984"/>
      <c r="M46" s="984"/>
      <c r="AD46" s="1014"/>
      <c r="AE46" s="1004"/>
      <c r="AF46" s="1004"/>
      <c r="AG46" s="1004"/>
      <c r="AH46" s="1015"/>
      <c r="AI46" s="122"/>
      <c r="AJ46" s="122"/>
      <c r="AK46" s="122"/>
      <c r="AL46" s="122"/>
      <c r="AM46" s="122"/>
      <c r="AN46" s="122"/>
      <c r="AO46" s="18"/>
      <c r="BH46" s="122"/>
      <c r="BI46" s="122"/>
      <c r="BJ46" s="122"/>
      <c r="CB46" s="122"/>
      <c r="CC46" s="122"/>
      <c r="CD46" s="122"/>
    </row>
    <row r="47" spans="1:98" s="2" customFormat="1" ht="12" customHeight="1" x14ac:dyDescent="0.2">
      <c r="A47" s="270" t="s">
        <v>403</v>
      </c>
      <c r="C47" s="457" t="s">
        <v>801</v>
      </c>
      <c r="D47" s="457"/>
      <c r="E47" s="457"/>
      <c r="F47" s="457"/>
      <c r="G47" s="457"/>
      <c r="H47" s="457"/>
      <c r="I47" s="457"/>
      <c r="J47" s="457"/>
      <c r="K47" s="457"/>
      <c r="L47" s="457"/>
      <c r="M47" s="457"/>
      <c r="AD47" s="95"/>
      <c r="AE47" s="96"/>
      <c r="AF47" s="97" t="s">
        <v>33</v>
      </c>
      <c r="AG47" s="97"/>
      <c r="AH47" s="97"/>
      <c r="AI47" s="122"/>
      <c r="AJ47" s="122"/>
      <c r="AK47" s="122"/>
      <c r="AL47" s="122"/>
      <c r="AM47" s="122"/>
      <c r="AN47" s="122"/>
      <c r="AO47" s="18"/>
      <c r="BH47" s="122"/>
      <c r="BI47" s="122"/>
      <c r="BJ47" s="122"/>
      <c r="BK47" s="18"/>
      <c r="CB47" s="122"/>
      <c r="CC47" s="122"/>
      <c r="CD47" s="122"/>
    </row>
    <row r="48" spans="1:98" s="2" customFormat="1" ht="12" customHeight="1" thickBot="1" x14ac:dyDescent="0.25">
      <c r="A48" s="269" t="s">
        <v>385</v>
      </c>
      <c r="B48" s="1"/>
      <c r="C48" s="984" t="s">
        <v>799</v>
      </c>
      <c r="D48" s="984"/>
      <c r="E48" s="984"/>
      <c r="F48" s="984"/>
      <c r="G48" s="984"/>
      <c r="H48" s="984"/>
      <c r="I48" s="984"/>
      <c r="J48" s="984"/>
      <c r="K48" s="984"/>
      <c r="L48" s="984"/>
      <c r="M48" s="984"/>
      <c r="AD48" s="98" t="s">
        <v>121</v>
      </c>
      <c r="AE48" s="99"/>
      <c r="AF48" s="100" t="s">
        <v>122</v>
      </c>
      <c r="AG48" s="100" t="s">
        <v>38</v>
      </c>
      <c r="AH48" s="99" t="s">
        <v>123</v>
      </c>
      <c r="AI48" s="122"/>
      <c r="AJ48" s="122"/>
      <c r="AK48" s="122"/>
      <c r="AL48" s="122"/>
      <c r="AM48" s="122"/>
      <c r="AN48" s="122"/>
      <c r="BH48" s="122"/>
      <c r="BI48" s="122"/>
      <c r="BJ48" s="122"/>
      <c r="BK48" s="18"/>
      <c r="CB48" s="122"/>
      <c r="CC48" s="122"/>
      <c r="CD48" s="122"/>
      <c r="CE48" s="18"/>
    </row>
    <row r="49" spans="1:83" s="2" customFormat="1" ht="7.5" customHeight="1" thickBot="1" x14ac:dyDescent="0.25">
      <c r="A49" s="53"/>
      <c r="B49" s="53"/>
      <c r="C49" s="1"/>
      <c r="D49" s="1"/>
      <c r="E49" s="1"/>
      <c r="F49" s="1"/>
      <c r="G49" s="1"/>
      <c r="H49" s="1"/>
      <c r="I49" s="1"/>
      <c r="J49" s="1"/>
      <c r="K49" s="1"/>
      <c r="L49" s="1"/>
      <c r="AD49" s="105" t="s">
        <v>803</v>
      </c>
      <c r="AE49" s="22" t="s">
        <v>284</v>
      </c>
      <c r="AF49" s="106">
        <v>1</v>
      </c>
      <c r="AG49" s="479">
        <f>IF($G$19=0,0,IF($G$19&lt;=450,AF73,(IF($G$19&lt;=800,AF74,(IF($G$19&lt;=1200,AF75,(IF($G$19&lt;=1600,AF76,(IF($G$19&gt;1600,AF77))))))))))</f>
        <v>900</v>
      </c>
      <c r="AH49" s="73">
        <f>AF49*AG49</f>
        <v>900</v>
      </c>
      <c r="AI49" s="60" t="s">
        <v>41</v>
      </c>
      <c r="AJ49" s="122"/>
      <c r="AK49" s="122"/>
      <c r="AL49" s="122"/>
      <c r="AM49" s="122"/>
      <c r="AN49" s="122"/>
      <c r="BH49" s="122"/>
      <c r="BI49" s="122"/>
      <c r="BJ49" s="122"/>
      <c r="BK49" s="18"/>
      <c r="CB49" s="122"/>
      <c r="CC49" s="122"/>
      <c r="CD49" s="122"/>
      <c r="CE49" s="18"/>
    </row>
    <row r="50" spans="1:83" s="2" customFormat="1" ht="12" customHeight="1" x14ac:dyDescent="0.2">
      <c r="A50" s="53"/>
      <c r="B50" s="53"/>
      <c r="C50" s="894" t="s">
        <v>374</v>
      </c>
      <c r="D50" s="895"/>
      <c r="E50" s="895"/>
      <c r="F50" s="895"/>
      <c r="G50" s="896"/>
      <c r="H50" s="46"/>
      <c r="I50" s="1"/>
      <c r="J50" s="1"/>
      <c r="K50" s="1"/>
      <c r="L50" s="1"/>
      <c r="M50" s="1"/>
      <c r="AD50" s="105" t="s">
        <v>804</v>
      </c>
      <c r="AE50" s="22" t="s">
        <v>286</v>
      </c>
      <c r="AF50" s="106">
        <v>1</v>
      </c>
      <c r="AG50" s="479">
        <f>IF($G$19=0,0,IF($G$19&lt;=450,AG73,(IF($G$19&lt;=800,AG74,(IF($G$19&lt;=1200,AG75,(IF($G$19&lt;=1600,AG76,(IF($G$19&gt;1600,AG77))))))))))</f>
        <v>150</v>
      </c>
      <c r="AH50" s="73">
        <f>AF50*AG50</f>
        <v>150</v>
      </c>
      <c r="AI50" s="60" t="s">
        <v>36</v>
      </c>
      <c r="AJ50" s="122"/>
      <c r="AK50" s="122"/>
      <c r="AL50" s="122"/>
      <c r="AM50" s="122"/>
      <c r="AN50" s="122"/>
      <c r="BH50" s="122"/>
      <c r="BI50" s="122"/>
      <c r="BJ50" s="122"/>
      <c r="BK50" s="18"/>
      <c r="CB50" s="122"/>
      <c r="CC50" s="122"/>
      <c r="CD50" s="122"/>
      <c r="CE50" s="18"/>
    </row>
    <row r="51" spans="1:83" s="2" customFormat="1" ht="12" customHeight="1" thickBot="1" x14ac:dyDescent="0.25">
      <c r="C51" s="897"/>
      <c r="D51" s="898"/>
      <c r="E51" s="898"/>
      <c r="F51" s="898"/>
      <c r="G51" s="899"/>
      <c r="H51" s="456"/>
      <c r="I51" s="46"/>
      <c r="J51" s="46"/>
      <c r="K51" s="46"/>
      <c r="L51" s="46"/>
      <c r="AD51" s="105" t="s">
        <v>805</v>
      </c>
      <c r="AE51" s="22" t="s">
        <v>288</v>
      </c>
      <c r="AF51" s="106">
        <v>1</v>
      </c>
      <c r="AG51" s="479">
        <f>IF($G$19=0,0,IF($G$19&lt;=450,AH73,(IF($G$19&lt;=800,AH74,(IF($G$19&lt;=1200,AH75,(IF($G$19&lt;=1600,AH76,(IF($G$19&gt;1600,AH77))))))))))</f>
        <v>100</v>
      </c>
      <c r="AH51" s="73">
        <f>AF51*AG51</f>
        <v>100</v>
      </c>
      <c r="AI51" s="60"/>
      <c r="AJ51" s="122"/>
      <c r="AK51" s="122"/>
      <c r="AL51" s="122"/>
      <c r="AM51" s="122"/>
      <c r="AN51" s="122"/>
      <c r="BH51" s="122"/>
      <c r="BI51" s="122"/>
      <c r="BJ51" s="122"/>
      <c r="BK51" s="18"/>
      <c r="CB51" s="122"/>
      <c r="CC51" s="122"/>
      <c r="CD51" s="122"/>
      <c r="CE51" s="18"/>
    </row>
    <row r="52" spans="1:83" s="2" customFormat="1" ht="12" customHeight="1" thickBot="1" x14ac:dyDescent="0.25">
      <c r="C52" s="395" t="s">
        <v>14</v>
      </c>
      <c r="D52" s="272"/>
      <c r="E52" s="87" t="s">
        <v>33</v>
      </c>
      <c r="F52" s="87" t="s">
        <v>64</v>
      </c>
      <c r="G52" s="396" t="s">
        <v>13</v>
      </c>
      <c r="Z52" s="445"/>
      <c r="AA52" s="439" t="s">
        <v>767</v>
      </c>
      <c r="AB52" s="446"/>
      <c r="AD52" s="105" t="s">
        <v>806</v>
      </c>
      <c r="AE52" s="22" t="s">
        <v>290</v>
      </c>
      <c r="AF52" s="106">
        <v>1</v>
      </c>
      <c r="AG52" s="479">
        <f>IF($G$19=0,0,IF($G$19&lt;=450,AI73,(IF($G$19&lt;=800,AI74,(IF($G$19&lt;=1200,AI75,(IF($G$19&lt;=1600,AI76,(IF($G$19&gt;1600,AI77))))))))))</f>
        <v>900</v>
      </c>
      <c r="AH52" s="73">
        <f>AF52*AG52</f>
        <v>900</v>
      </c>
      <c r="AI52" s="60" t="s">
        <v>39</v>
      </c>
      <c r="AJ52" s="122"/>
      <c r="AK52" s="122"/>
      <c r="AL52" s="122"/>
      <c r="AM52" s="122"/>
      <c r="AN52" s="122"/>
      <c r="AO52" s="18"/>
      <c r="BH52" s="122"/>
      <c r="BI52" s="122"/>
      <c r="BJ52" s="122"/>
      <c r="BK52" s="18"/>
      <c r="CB52" s="122"/>
      <c r="CC52" s="122"/>
      <c r="CD52" s="122"/>
      <c r="CE52" s="18"/>
    </row>
    <row r="53" spans="1:83" s="2" customFormat="1" ht="12" customHeight="1" x14ac:dyDescent="0.2">
      <c r="C53" s="397" t="s">
        <v>782</v>
      </c>
      <c r="D53" s="776" t="s">
        <v>16</v>
      </c>
      <c r="E53" s="782">
        <v>0</v>
      </c>
      <c r="F53" s="789">
        <v>0</v>
      </c>
      <c r="G53" s="792">
        <f t="shared" ref="G53:G60" si="19">SUM(E53:F53)</f>
        <v>0</v>
      </c>
      <c r="H53" s="768" t="s">
        <v>375</v>
      </c>
      <c r="Z53" s="450"/>
      <c r="AA53" s="451"/>
      <c r="AB53" s="452"/>
      <c r="AD53" s="105" t="s">
        <v>807</v>
      </c>
      <c r="AE53" s="145" t="s">
        <v>292</v>
      </c>
      <c r="AF53" s="146">
        <v>1</v>
      </c>
      <c r="AG53" s="480">
        <f>IF($G$19=0,0,IF($G$19&lt;=450,AJ73,(IF($G$19&lt;=800,AJ74,(IF($G$19&lt;=1200,AJ75,(IF($G$19&lt;=1600,AJ76,(IF($G$19&gt;1600,AJ77))))))))))</f>
        <v>600</v>
      </c>
      <c r="AH53" s="74">
        <f>AF53*AG53</f>
        <v>600</v>
      </c>
      <c r="AI53" s="122"/>
      <c r="AJ53" s="122"/>
      <c r="AK53" s="122"/>
      <c r="AL53" s="122"/>
      <c r="AM53" s="122"/>
      <c r="AN53" s="122"/>
      <c r="AO53" s="18"/>
      <c r="BH53" s="122"/>
      <c r="BI53" s="122"/>
      <c r="BJ53" s="122"/>
      <c r="BK53" s="18"/>
      <c r="CB53" s="122"/>
      <c r="CC53" s="122"/>
      <c r="CD53" s="122"/>
      <c r="CE53" s="18"/>
    </row>
    <row r="54" spans="1:83" s="2" customFormat="1" ht="12" customHeight="1" x14ac:dyDescent="0.2">
      <c r="C54" s="397" t="s">
        <v>783</v>
      </c>
      <c r="D54" s="777" t="s">
        <v>18</v>
      </c>
      <c r="E54" s="783">
        <v>0</v>
      </c>
      <c r="F54" s="790">
        <v>0</v>
      </c>
      <c r="G54" s="793">
        <f t="shared" si="19"/>
        <v>0</v>
      </c>
      <c r="H54" s="768" t="s">
        <v>390</v>
      </c>
      <c r="Z54" s="453"/>
      <c r="AA54" s="454"/>
      <c r="AB54" s="455"/>
      <c r="AD54" s="101"/>
      <c r="AE54" s="22"/>
      <c r="AF54" s="80"/>
      <c r="AG54" s="80"/>
      <c r="AH54" s="73"/>
      <c r="AI54" s="122"/>
      <c r="AJ54" s="122"/>
      <c r="AK54" s="122"/>
      <c r="AL54" s="122"/>
      <c r="AM54" s="122"/>
      <c r="AN54" s="122"/>
      <c r="AO54" s="18"/>
      <c r="BH54" s="122"/>
      <c r="BI54" s="122"/>
      <c r="BJ54" s="122"/>
      <c r="BK54" s="18"/>
      <c r="CB54" s="122"/>
      <c r="CC54" s="122"/>
      <c r="CD54" s="122"/>
      <c r="CE54" s="18"/>
    </row>
    <row r="55" spans="1:83" s="2" customFormat="1" ht="12" customHeight="1" thickBot="1" x14ac:dyDescent="0.25">
      <c r="C55" s="397" t="s">
        <v>784</v>
      </c>
      <c r="D55" s="778" t="s">
        <v>20</v>
      </c>
      <c r="E55" s="783">
        <v>0</v>
      </c>
      <c r="F55" s="790">
        <v>0</v>
      </c>
      <c r="G55" s="793">
        <f t="shared" si="19"/>
        <v>0</v>
      </c>
      <c r="H55" s="768" t="s">
        <v>391</v>
      </c>
      <c r="Z55" s="447"/>
      <c r="AA55" s="448">
        <f>AH55</f>
        <v>2650</v>
      </c>
      <c r="AB55" s="449"/>
      <c r="AD55" s="113" t="s">
        <v>293</v>
      </c>
      <c r="AE55" s="114"/>
      <c r="AF55" s="148"/>
      <c r="AG55" s="148"/>
      <c r="AH55" s="116">
        <f>SUM(AH49:AH53)</f>
        <v>2650</v>
      </c>
      <c r="AI55" s="122"/>
      <c r="AJ55" s="122"/>
      <c r="AK55" s="122"/>
      <c r="AL55" s="122"/>
      <c r="AM55" s="122"/>
      <c r="AN55" s="122"/>
      <c r="AO55" s="18"/>
      <c r="BH55" s="122"/>
      <c r="BI55" s="122"/>
      <c r="BJ55" s="122"/>
      <c r="BK55" s="18"/>
      <c r="CB55" s="122"/>
      <c r="CC55" s="122"/>
      <c r="CD55" s="122"/>
      <c r="CE55" s="18"/>
    </row>
    <row r="56" spans="1:83" s="2" customFormat="1" ht="12" customHeight="1" thickTop="1" thickBot="1" x14ac:dyDescent="0.25">
      <c r="C56" s="397" t="s">
        <v>785</v>
      </c>
      <c r="D56" s="777" t="s">
        <v>22</v>
      </c>
      <c r="E56" s="783">
        <v>0</v>
      </c>
      <c r="F56" s="790">
        <v>0</v>
      </c>
      <c r="G56" s="793">
        <f t="shared" si="19"/>
        <v>0</v>
      </c>
      <c r="H56" s="768" t="s">
        <v>392</v>
      </c>
      <c r="AD56" s="18"/>
      <c r="AE56" s="32"/>
      <c r="AF56" s="32"/>
      <c r="AG56" s="32"/>
      <c r="AH56" s="122"/>
      <c r="AI56" s="122"/>
      <c r="AJ56" s="122"/>
      <c r="AK56" s="122"/>
      <c r="AL56" s="122"/>
      <c r="AM56" s="122"/>
      <c r="AN56" s="122"/>
      <c r="AO56" s="18"/>
      <c r="BH56" s="122"/>
      <c r="BI56" s="122"/>
      <c r="BJ56" s="122"/>
      <c r="BK56" s="18"/>
      <c r="CB56" s="122"/>
      <c r="CC56" s="122"/>
      <c r="CD56" s="122"/>
      <c r="CE56" s="18"/>
    </row>
    <row r="57" spans="1:83" s="2" customFormat="1" ht="12" customHeight="1" thickBot="1" x14ac:dyDescent="0.25">
      <c r="C57" s="397" t="s">
        <v>786</v>
      </c>
      <c r="D57" s="777" t="s">
        <v>27</v>
      </c>
      <c r="E57" s="783">
        <v>0</v>
      </c>
      <c r="F57" s="790">
        <v>0</v>
      </c>
      <c r="G57" s="793">
        <f t="shared" si="19"/>
        <v>0</v>
      </c>
      <c r="H57" s="768" t="s">
        <v>393</v>
      </c>
      <c r="AD57" s="945" t="s">
        <v>294</v>
      </c>
      <c r="AE57" s="946"/>
      <c r="AF57" s="946"/>
      <c r="AG57" s="946"/>
      <c r="AH57" s="946"/>
      <c r="AI57" s="946"/>
      <c r="AJ57" s="947"/>
      <c r="AK57" s="122"/>
      <c r="AL57" s="122"/>
      <c r="AM57" s="122"/>
      <c r="AN57" s="122"/>
      <c r="AO57" s="18"/>
      <c r="BH57" s="122"/>
      <c r="BI57" s="122"/>
      <c r="BJ57" s="122"/>
      <c r="BK57" s="18"/>
      <c r="CB57" s="122"/>
      <c r="CC57" s="122"/>
      <c r="CD57" s="122"/>
      <c r="CE57" s="18"/>
    </row>
    <row r="58" spans="1:83" s="2" customFormat="1" ht="12" customHeight="1" thickBot="1" x14ac:dyDescent="0.25">
      <c r="C58" s="397" t="s">
        <v>787</v>
      </c>
      <c r="D58" s="777" t="s">
        <v>29</v>
      </c>
      <c r="E58" s="783">
        <v>0</v>
      </c>
      <c r="F58" s="790">
        <v>0</v>
      </c>
      <c r="G58" s="793">
        <f t="shared" si="19"/>
        <v>0</v>
      </c>
      <c r="H58" s="768" t="s">
        <v>394</v>
      </c>
      <c r="AD58" s="149" t="s">
        <v>23</v>
      </c>
      <c r="AE58" s="150" t="s">
        <v>24</v>
      </c>
      <c r="AF58" s="151"/>
      <c r="AG58" s="151"/>
      <c r="AH58" s="151"/>
      <c r="AI58" s="151"/>
      <c r="AJ58" s="152"/>
      <c r="AK58" s="122"/>
      <c r="AL58" s="122"/>
      <c r="AM58" s="122"/>
      <c r="AN58" s="122"/>
      <c r="AO58" s="18"/>
      <c r="BH58" s="117"/>
      <c r="BI58" s="117"/>
      <c r="BJ58" s="117"/>
      <c r="BK58" s="117"/>
      <c r="CB58" s="122"/>
      <c r="CC58" s="122"/>
      <c r="CD58" s="122"/>
      <c r="CE58" s="18"/>
    </row>
    <row r="59" spans="1:83" s="2" customFormat="1" ht="12" customHeight="1" x14ac:dyDescent="0.2">
      <c r="C59" s="397" t="s">
        <v>788</v>
      </c>
      <c r="D59" s="777" t="s">
        <v>31</v>
      </c>
      <c r="E59" s="783">
        <v>0</v>
      </c>
      <c r="F59" s="790">
        <v>0</v>
      </c>
      <c r="G59" s="793">
        <f t="shared" si="19"/>
        <v>0</v>
      </c>
      <c r="H59" s="768" t="s">
        <v>395</v>
      </c>
      <c r="AD59" s="68">
        <v>1</v>
      </c>
      <c r="AE59" s="153" t="s">
        <v>295</v>
      </c>
      <c r="AF59" s="154"/>
      <c r="AG59" s="154"/>
      <c r="AH59" s="154"/>
      <c r="AI59" s="154"/>
      <c r="AJ59" s="155"/>
      <c r="AK59" s="122"/>
      <c r="AL59" s="122"/>
      <c r="AM59" s="122"/>
      <c r="AN59" s="122"/>
      <c r="AO59" s="18"/>
      <c r="BH59" s="117"/>
      <c r="BI59" s="117"/>
      <c r="BJ59" s="117"/>
      <c r="BK59" s="117"/>
      <c r="CB59" s="117"/>
      <c r="CC59" s="117"/>
      <c r="CD59" s="117"/>
      <c r="CE59" s="117"/>
    </row>
    <row r="60" spans="1:83" s="2" customFormat="1" ht="12" customHeight="1" x14ac:dyDescent="0.2">
      <c r="C60" s="397" t="s">
        <v>789</v>
      </c>
      <c r="D60" s="777" t="s">
        <v>74</v>
      </c>
      <c r="E60" s="783">
        <v>0</v>
      </c>
      <c r="F60" s="790">
        <v>0</v>
      </c>
      <c r="G60" s="793">
        <f t="shared" si="19"/>
        <v>0</v>
      </c>
      <c r="H60" s="768" t="s">
        <v>396</v>
      </c>
      <c r="AD60" s="68"/>
      <c r="AE60" s="156" t="s">
        <v>296</v>
      </c>
      <c r="AF60" s="157"/>
      <c r="AG60" s="157"/>
      <c r="AH60" s="157"/>
      <c r="AI60" s="157"/>
      <c r="AJ60" s="158"/>
      <c r="AK60" s="122"/>
      <c r="AL60" s="122"/>
      <c r="AM60" s="122"/>
      <c r="AN60" s="122"/>
      <c r="AO60" s="18"/>
      <c r="BH60" s="117"/>
      <c r="BI60" s="117"/>
      <c r="BJ60" s="117"/>
      <c r="BK60" s="117"/>
      <c r="CB60" s="117"/>
      <c r="CC60" s="117"/>
      <c r="CD60" s="117"/>
      <c r="CE60" s="117"/>
    </row>
    <row r="61" spans="1:83" s="2" customFormat="1" ht="12" customHeight="1" x14ac:dyDescent="0.2">
      <c r="C61" s="397" t="s">
        <v>790</v>
      </c>
      <c r="D61" s="777" t="s">
        <v>0</v>
      </c>
      <c r="E61" s="783">
        <v>0</v>
      </c>
      <c r="F61" s="790">
        <v>0</v>
      </c>
      <c r="G61" s="793">
        <f t="shared" ref="G61" si="20">SUM(E61:F61)</f>
        <v>0</v>
      </c>
      <c r="H61" s="768" t="s">
        <v>397</v>
      </c>
      <c r="AD61" s="68">
        <v>2</v>
      </c>
      <c r="AE61" s="156" t="s">
        <v>297</v>
      </c>
      <c r="AF61" s="157"/>
      <c r="AG61" s="157"/>
      <c r="AH61" s="157"/>
      <c r="AI61" s="157"/>
      <c r="AJ61" s="158"/>
      <c r="AK61" s="122"/>
      <c r="AL61" s="122"/>
      <c r="AM61" s="122"/>
      <c r="AN61" s="122"/>
      <c r="AO61" s="18"/>
      <c r="BH61" s="117"/>
      <c r="BI61" s="117"/>
      <c r="BJ61" s="117"/>
      <c r="BK61" s="117"/>
      <c r="CB61" s="117"/>
      <c r="CC61" s="117"/>
      <c r="CD61" s="117"/>
      <c r="CE61" s="117"/>
    </row>
    <row r="62" spans="1:83" s="2" customFormat="1" ht="12" customHeight="1" x14ac:dyDescent="0.2">
      <c r="C62" s="397" t="s">
        <v>791</v>
      </c>
      <c r="D62" s="779" t="s">
        <v>2</v>
      </c>
      <c r="E62" s="783">
        <v>0</v>
      </c>
      <c r="F62" s="790">
        <v>0</v>
      </c>
      <c r="G62" s="793">
        <f>SUM(E62:F62)</f>
        <v>0</v>
      </c>
      <c r="H62" s="769" t="s">
        <v>398</v>
      </c>
      <c r="AD62" s="68"/>
      <c r="AE62" s="156" t="s">
        <v>298</v>
      </c>
      <c r="AF62" s="156"/>
      <c r="AG62" s="156"/>
      <c r="AH62" s="159"/>
      <c r="AI62" s="159"/>
      <c r="AJ62" s="160"/>
      <c r="AK62" s="122"/>
      <c r="AL62" s="122"/>
      <c r="AM62" s="122"/>
      <c r="AN62" s="122"/>
      <c r="AO62" s="18"/>
      <c r="BH62" s="122"/>
      <c r="BI62" s="122"/>
      <c r="BJ62" s="122"/>
      <c r="BK62" s="117"/>
      <c r="CB62" s="117"/>
      <c r="CC62" s="117"/>
      <c r="CD62" s="117"/>
      <c r="CE62" s="117"/>
    </row>
    <row r="63" spans="1:83" s="2" customFormat="1" ht="12" customHeight="1" x14ac:dyDescent="0.2">
      <c r="C63" s="397" t="s">
        <v>792</v>
      </c>
      <c r="D63" s="777" t="s">
        <v>4</v>
      </c>
      <c r="E63" s="783">
        <v>0</v>
      </c>
      <c r="F63" s="790">
        <v>0</v>
      </c>
      <c r="G63" s="793">
        <f>SUM(E63:F63)</f>
        <v>0</v>
      </c>
      <c r="H63" s="769" t="s">
        <v>399</v>
      </c>
      <c r="AD63" s="68">
        <v>3</v>
      </c>
      <c r="AE63" s="156" t="s">
        <v>299</v>
      </c>
      <c r="AF63" s="156"/>
      <c r="AG63" s="156"/>
      <c r="AH63" s="159"/>
      <c r="AI63" s="159"/>
      <c r="AJ63" s="160"/>
      <c r="AK63" s="157"/>
      <c r="AL63" s="117"/>
      <c r="AM63" s="117"/>
      <c r="AN63" s="117"/>
      <c r="AO63" s="117"/>
      <c r="BH63" s="122"/>
      <c r="BI63" s="122"/>
      <c r="BJ63" s="122"/>
      <c r="BK63" s="117"/>
      <c r="CB63" s="122"/>
      <c r="CC63" s="122"/>
      <c r="CD63" s="122"/>
      <c r="CE63" s="117"/>
    </row>
    <row r="64" spans="1:83" s="2" customFormat="1" ht="12" customHeight="1" x14ac:dyDescent="0.2">
      <c r="C64" s="397" t="s">
        <v>793</v>
      </c>
      <c r="D64" s="780" t="s">
        <v>6</v>
      </c>
      <c r="E64" s="783">
        <v>0</v>
      </c>
      <c r="F64" s="790">
        <v>0</v>
      </c>
      <c r="G64" s="793">
        <f>SUM(E64:F64)</f>
        <v>0</v>
      </c>
      <c r="H64" s="769" t="s">
        <v>400</v>
      </c>
      <c r="AD64" s="68"/>
      <c r="AE64" s="156" t="s">
        <v>300</v>
      </c>
      <c r="AF64" s="156"/>
      <c r="AG64" s="156"/>
      <c r="AH64" s="159"/>
      <c r="AI64" s="159"/>
      <c r="AJ64" s="160"/>
      <c r="AK64" s="157"/>
      <c r="AL64" s="117"/>
      <c r="AM64" s="117"/>
      <c r="AN64" s="117"/>
      <c r="AO64" s="117"/>
      <c r="CB64" s="122"/>
      <c r="CC64" s="122"/>
      <c r="CD64" s="122"/>
      <c r="CE64" s="117"/>
    </row>
    <row r="65" spans="1:86" s="2" customFormat="1" ht="12" customHeight="1" thickBot="1" x14ac:dyDescent="0.25">
      <c r="C65" s="397" t="s">
        <v>794</v>
      </c>
      <c r="D65" s="781" t="s">
        <v>8</v>
      </c>
      <c r="E65" s="784">
        <v>0</v>
      </c>
      <c r="F65" s="791">
        <v>0</v>
      </c>
      <c r="G65" s="794">
        <f>SUM(E65:F65)</f>
        <v>0</v>
      </c>
      <c r="H65" s="769" t="s">
        <v>401</v>
      </c>
      <c r="AD65" s="68"/>
      <c r="AE65" s="156" t="s">
        <v>301</v>
      </c>
      <c r="AF65" s="156"/>
      <c r="AG65" s="156"/>
      <c r="AH65" s="159"/>
      <c r="AI65" s="159"/>
      <c r="AJ65" s="160"/>
      <c r="AK65" s="157"/>
      <c r="AL65" s="117"/>
      <c r="AM65" s="117"/>
      <c r="AN65" s="117"/>
      <c r="AO65" s="117"/>
      <c r="BH65" s="122"/>
      <c r="BI65" s="122"/>
      <c r="BJ65" s="122"/>
      <c r="BK65" s="122"/>
      <c r="BL65" s="122"/>
      <c r="BM65" s="122"/>
      <c r="BN65" s="122"/>
    </row>
    <row r="66" spans="1:86" s="2" customFormat="1" ht="12" customHeight="1" thickBot="1" x14ac:dyDescent="0.25">
      <c r="C66" s="86"/>
      <c r="D66" s="393" t="s">
        <v>796</v>
      </c>
      <c r="E66" s="394">
        <f>SUM(E53:E65)</f>
        <v>0</v>
      </c>
      <c r="F66" s="385"/>
      <c r="G66" s="366"/>
      <c r="H66" s="382"/>
      <c r="AD66" s="68"/>
      <c r="AE66" s="156" t="s">
        <v>302</v>
      </c>
      <c r="AF66" s="156"/>
      <c r="AG66" s="156"/>
      <c r="AH66" s="159"/>
      <c r="AI66" s="159"/>
      <c r="AJ66" s="160"/>
      <c r="AK66" s="157"/>
      <c r="AL66" s="117"/>
      <c r="AM66" s="117"/>
      <c r="AN66" s="117"/>
      <c r="AO66" s="117"/>
      <c r="BH66" s="122"/>
      <c r="BI66" s="122"/>
      <c r="BJ66" s="122"/>
      <c r="BK66" s="122"/>
      <c r="BL66" s="122"/>
      <c r="BM66" s="122"/>
      <c r="BN66" s="122"/>
      <c r="CB66" s="122"/>
      <c r="CC66" s="122"/>
      <c r="CD66" s="122"/>
      <c r="CE66" s="122"/>
      <c r="CF66" s="122"/>
      <c r="CG66" s="122"/>
      <c r="CH66" s="122"/>
    </row>
    <row r="67" spans="1:86" s="2" customFormat="1" ht="12" customHeight="1" thickBot="1" x14ac:dyDescent="0.25">
      <c r="C67" s="397" t="s">
        <v>795</v>
      </c>
      <c r="D67" s="785" t="s">
        <v>10</v>
      </c>
      <c r="E67" s="786">
        <v>0</v>
      </c>
      <c r="F67" s="787">
        <v>0</v>
      </c>
      <c r="G67" s="788">
        <f>SUM(E67:F67)</f>
        <v>0</v>
      </c>
      <c r="H67" s="769" t="s">
        <v>404</v>
      </c>
      <c r="AD67" s="54"/>
      <c r="AE67" s="161"/>
      <c r="AF67" s="161"/>
      <c r="AG67" s="161"/>
      <c r="AH67" s="161"/>
      <c r="AI67" s="161"/>
      <c r="AJ67" s="162"/>
      <c r="AK67" s="159"/>
      <c r="AL67" s="122"/>
      <c r="AM67" s="122"/>
      <c r="AN67" s="122"/>
      <c r="AO67" s="117"/>
      <c r="BH67" s="122"/>
      <c r="BI67" s="122"/>
      <c r="BJ67" s="122"/>
      <c r="BK67" s="122"/>
      <c r="BL67" s="122"/>
      <c r="BM67" s="122"/>
      <c r="BN67" s="122"/>
      <c r="CB67" s="122"/>
      <c r="CC67" s="122"/>
      <c r="CD67" s="122"/>
      <c r="CE67" s="122"/>
      <c r="CF67" s="122"/>
      <c r="CG67" s="122"/>
      <c r="CH67" s="122"/>
    </row>
    <row r="68" spans="1:86" s="2" customFormat="1" ht="12" customHeight="1" x14ac:dyDescent="0.2">
      <c r="C68" s="268"/>
      <c r="D68" s="393" t="s">
        <v>797</v>
      </c>
      <c r="E68" s="75">
        <f>SUM(E53:E65)+E67</f>
        <v>0</v>
      </c>
      <c r="F68" s="76">
        <f>SUM(F53:F67)</f>
        <v>0</v>
      </c>
      <c r="G68" s="400">
        <f>SUM(G53:G67)</f>
        <v>0</v>
      </c>
      <c r="H68" s="769"/>
      <c r="AD68" s="54"/>
      <c r="AE68" s="156" t="s">
        <v>303</v>
      </c>
      <c r="AF68" s="161"/>
      <c r="AG68" s="161"/>
      <c r="AH68" s="161"/>
      <c r="AI68" s="161"/>
      <c r="AJ68" s="162"/>
      <c r="AK68" s="159"/>
      <c r="AL68" s="122"/>
      <c r="AM68" s="122"/>
      <c r="AN68" s="122"/>
      <c r="AO68" s="117"/>
      <c r="BH68" s="122"/>
      <c r="BI68" s="122"/>
      <c r="BJ68" s="122"/>
      <c r="BK68" s="122"/>
      <c r="BL68" s="122"/>
      <c r="BM68" s="122"/>
      <c r="BN68" s="122"/>
      <c r="CB68" s="122"/>
      <c r="CC68" s="122"/>
      <c r="CD68" s="122"/>
      <c r="CE68" s="122"/>
      <c r="CF68" s="122"/>
      <c r="CG68" s="122"/>
      <c r="CH68" s="122"/>
    </row>
    <row r="69" spans="1:86" s="2" customFormat="1" ht="6" customHeight="1" thickBot="1" x14ac:dyDescent="0.25">
      <c r="C69" s="86"/>
      <c r="D69" s="15"/>
      <c r="E69" s="261"/>
      <c r="F69" s="15"/>
      <c r="G69" s="398"/>
      <c r="H69" s="770"/>
      <c r="AD69" s="163"/>
      <c r="AE69" s="164" t="s">
        <v>424</v>
      </c>
      <c r="AF69" s="165"/>
      <c r="AG69" s="165"/>
      <c r="AH69" s="165"/>
      <c r="AI69" s="165"/>
      <c r="AJ69" s="166"/>
      <c r="BH69" s="122"/>
      <c r="BI69" s="122"/>
      <c r="BJ69" s="122"/>
      <c r="BK69" s="122"/>
      <c r="BL69" s="122"/>
      <c r="BM69" s="122"/>
      <c r="BN69" s="122"/>
      <c r="CB69" s="122"/>
      <c r="CC69" s="122"/>
      <c r="CD69" s="122"/>
      <c r="CE69" s="122"/>
      <c r="CF69" s="122"/>
      <c r="CG69" s="122"/>
      <c r="CH69" s="122"/>
    </row>
    <row r="70" spans="1:86" s="2" customFormat="1" ht="12" customHeight="1" thickBot="1" x14ac:dyDescent="0.25">
      <c r="C70" s="86"/>
      <c r="D70" s="393" t="s">
        <v>389</v>
      </c>
      <c r="E70" s="281">
        <v>0</v>
      </c>
      <c r="F70" s="652">
        <v>0</v>
      </c>
      <c r="G70" s="399">
        <f>SUM(E70:F70)</f>
        <v>0</v>
      </c>
      <c r="H70" s="769" t="s">
        <v>405</v>
      </c>
      <c r="AK70" s="122"/>
      <c r="AL70" s="122"/>
      <c r="AM70" s="122"/>
      <c r="AN70" s="122"/>
      <c r="AO70" s="122"/>
      <c r="AP70" s="122"/>
      <c r="AQ70" s="122"/>
      <c r="AR70" s="122"/>
      <c r="BH70" s="122"/>
      <c r="BI70" s="122"/>
      <c r="BJ70" s="122"/>
      <c r="BK70" s="122"/>
      <c r="BL70" s="122"/>
      <c r="BM70" s="122"/>
      <c r="BN70" s="122"/>
      <c r="CB70" s="122"/>
      <c r="CC70" s="122"/>
      <c r="CD70" s="122"/>
      <c r="CE70" s="122"/>
      <c r="CF70" s="122"/>
      <c r="CG70" s="122"/>
      <c r="CH70" s="122"/>
    </row>
    <row r="71" spans="1:86" s="2" customFormat="1" ht="5.25" customHeight="1" thickBot="1" x14ac:dyDescent="0.25">
      <c r="C71" s="268"/>
      <c r="D71" s="69"/>
      <c r="E71" s="75"/>
      <c r="F71" s="76"/>
      <c r="G71" s="400"/>
      <c r="H71" s="770"/>
      <c r="AE71" s="945" t="s">
        <v>102</v>
      </c>
      <c r="AF71" s="946"/>
      <c r="AG71" s="946"/>
      <c r="AH71" s="946"/>
      <c r="AI71" s="946"/>
      <c r="AJ71" s="946"/>
      <c r="AK71" s="947"/>
      <c r="AL71" s="122"/>
      <c r="AM71" s="122"/>
      <c r="AN71" s="122"/>
      <c r="AO71" s="122"/>
      <c r="AP71" s="122"/>
      <c r="AQ71" s="122"/>
      <c r="AR71" s="122"/>
      <c r="BH71" s="122"/>
      <c r="BI71" s="122"/>
      <c r="BJ71" s="122"/>
      <c r="BK71" s="122"/>
      <c r="BL71" s="122"/>
      <c r="BM71" s="122"/>
      <c r="BN71" s="122"/>
      <c r="CB71" s="122"/>
      <c r="CC71" s="122"/>
      <c r="CD71" s="122"/>
      <c r="CE71" s="122"/>
      <c r="CF71" s="122"/>
      <c r="CG71" s="122"/>
      <c r="CH71" s="122"/>
    </row>
    <row r="72" spans="1:86" s="2" customFormat="1" ht="12" customHeight="1" thickBot="1" x14ac:dyDescent="0.25">
      <c r="C72" s="401" t="s">
        <v>388</v>
      </c>
      <c r="D72" s="264"/>
      <c r="E72" s="411">
        <f>IF(E68=0,0,(E70-E68)/E70)</f>
        <v>0</v>
      </c>
      <c r="F72" s="411">
        <f>IF(F68=0,0,(F70-F68)/F70)</f>
        <v>0</v>
      </c>
      <c r="G72" s="411">
        <f>IF(G68=0,0,(G70-G68)/G70)</f>
        <v>0</v>
      </c>
      <c r="H72" s="769"/>
      <c r="AE72" s="134" t="s">
        <v>103</v>
      </c>
      <c r="AF72" s="135" t="s">
        <v>304</v>
      </c>
      <c r="AG72" s="135" t="s">
        <v>305</v>
      </c>
      <c r="AH72" s="135" t="s">
        <v>306</v>
      </c>
      <c r="AI72" s="135" t="s">
        <v>307</v>
      </c>
      <c r="AJ72" s="135" t="s">
        <v>308</v>
      </c>
      <c r="AK72" s="136" t="s">
        <v>179</v>
      </c>
      <c r="AL72" s="122"/>
      <c r="AM72" s="122"/>
      <c r="AN72" s="122"/>
      <c r="AO72" s="122"/>
      <c r="AP72" s="122"/>
      <c r="AQ72" s="122"/>
      <c r="AR72" s="122"/>
      <c r="BH72" s="122"/>
      <c r="BI72" s="122"/>
      <c r="BJ72" s="122"/>
      <c r="BK72" s="122"/>
      <c r="BL72" s="122"/>
      <c r="BM72" s="122"/>
      <c r="BN72" s="122"/>
      <c r="CB72" s="122"/>
      <c r="CC72" s="122"/>
      <c r="CD72" s="122"/>
      <c r="CE72" s="122"/>
      <c r="CF72" s="122"/>
      <c r="CG72" s="122"/>
      <c r="CH72" s="122"/>
    </row>
    <row r="73" spans="1:86" s="2" customFormat="1" ht="12" customHeight="1" x14ac:dyDescent="0.2">
      <c r="C73" s="402" t="s">
        <v>65</v>
      </c>
      <c r="D73" s="257"/>
      <c r="E73" s="76"/>
      <c r="F73" s="283">
        <v>0</v>
      </c>
      <c r="G73" s="403" t="s">
        <v>40</v>
      </c>
      <c r="H73" s="769" t="s">
        <v>406</v>
      </c>
      <c r="AE73" s="137" t="s">
        <v>458</v>
      </c>
      <c r="AF73" s="138">
        <v>900</v>
      </c>
      <c r="AG73" s="138">
        <v>150</v>
      </c>
      <c r="AH73" s="138">
        <v>100</v>
      </c>
      <c r="AI73" s="138">
        <v>900</v>
      </c>
      <c r="AJ73" s="138">
        <v>600</v>
      </c>
      <c r="AK73" s="139">
        <f>SUM(AF73:AJ73)</f>
        <v>2650</v>
      </c>
      <c r="AL73" s="122"/>
      <c r="AM73" s="122"/>
      <c r="AN73" s="122"/>
      <c r="AO73" s="122"/>
      <c r="AP73" s="122"/>
      <c r="AQ73" s="122"/>
      <c r="AR73" s="122"/>
      <c r="BH73" s="122"/>
      <c r="BI73" s="122"/>
      <c r="BJ73" s="122"/>
      <c r="BK73" s="122"/>
      <c r="BL73" s="122"/>
      <c r="BM73" s="122"/>
      <c r="BN73" s="122"/>
      <c r="CB73" s="122"/>
      <c r="CC73" s="122"/>
      <c r="CD73" s="122"/>
      <c r="CE73" s="122"/>
      <c r="CF73" s="122"/>
      <c r="CG73" s="122"/>
      <c r="CH73" s="122"/>
    </row>
    <row r="74" spans="1:86" s="2" customFormat="1" ht="12" customHeight="1" thickBot="1" x14ac:dyDescent="0.25">
      <c r="C74" s="404" t="s">
        <v>25</v>
      </c>
      <c r="D74" s="257"/>
      <c r="E74" s="76"/>
      <c r="F74" s="412">
        <f>F70-F73</f>
        <v>0</v>
      </c>
      <c r="G74" s="413" t="s">
        <v>40</v>
      </c>
      <c r="H74" s="3"/>
      <c r="AE74" s="140" t="s">
        <v>569</v>
      </c>
      <c r="AF74" s="141">
        <v>900</v>
      </c>
      <c r="AG74" s="141">
        <v>150</v>
      </c>
      <c r="AH74" s="141">
        <v>100</v>
      </c>
      <c r="AI74" s="141">
        <v>900</v>
      </c>
      <c r="AJ74" s="141">
        <v>600</v>
      </c>
      <c r="AK74" s="139">
        <f t="shared" ref="AK74:AK77" si="21">SUM(AF74:AJ74)</f>
        <v>2650</v>
      </c>
      <c r="AL74" s="122"/>
      <c r="AM74" s="122"/>
      <c r="AN74" s="122"/>
      <c r="AO74" s="122"/>
      <c r="AP74" s="122"/>
      <c r="AQ74" s="122"/>
      <c r="AR74" s="122"/>
      <c r="BH74" s="122"/>
      <c r="BI74" s="122"/>
      <c r="BJ74" s="122"/>
      <c r="BK74" s="122"/>
      <c r="BL74" s="122"/>
      <c r="BM74" s="122"/>
      <c r="BN74" s="122"/>
      <c r="CB74" s="122"/>
      <c r="CC74" s="122"/>
      <c r="CD74" s="122"/>
      <c r="CE74" s="122"/>
      <c r="CF74" s="122"/>
      <c r="CG74" s="122"/>
      <c r="CH74" s="122"/>
    </row>
    <row r="75" spans="1:86" s="2" customFormat="1" ht="12" customHeight="1" thickBot="1" x14ac:dyDescent="0.25">
      <c r="C75" s="405" t="s">
        <v>11</v>
      </c>
      <c r="D75" s="65"/>
      <c r="E75" s="69"/>
      <c r="F75" s="69"/>
      <c r="G75" s="406">
        <f>E70+F74</f>
        <v>0</v>
      </c>
      <c r="H75" s="278"/>
      <c r="AE75" s="140" t="s">
        <v>570</v>
      </c>
      <c r="AF75" s="141">
        <v>1800</v>
      </c>
      <c r="AG75" s="141">
        <v>200</v>
      </c>
      <c r="AH75" s="141">
        <v>200</v>
      </c>
      <c r="AI75" s="141">
        <v>900</v>
      </c>
      <c r="AJ75" s="141">
        <v>1200</v>
      </c>
      <c r="AK75" s="139">
        <f t="shared" si="21"/>
        <v>4300</v>
      </c>
      <c r="AL75" s="122"/>
      <c r="AM75" s="122"/>
      <c r="AN75" s="122"/>
      <c r="AO75" s="122"/>
      <c r="AP75" s="122"/>
      <c r="AQ75" s="122"/>
      <c r="AR75" s="122"/>
      <c r="BG75" s="122"/>
      <c r="BH75" s="122"/>
      <c r="BI75" s="122"/>
      <c r="BJ75" s="122"/>
      <c r="BK75" s="122"/>
      <c r="BL75" s="122"/>
      <c r="BM75" s="122"/>
      <c r="BN75" s="122"/>
      <c r="CB75" s="122"/>
      <c r="CC75" s="122"/>
      <c r="CD75" s="122"/>
      <c r="CE75" s="122"/>
      <c r="CF75" s="122"/>
      <c r="CG75" s="122"/>
      <c r="CH75" s="122"/>
    </row>
    <row r="76" spans="1:86" s="2" customFormat="1" ht="12" customHeight="1" thickBot="1" x14ac:dyDescent="0.25">
      <c r="C76" s="407" t="s">
        <v>12</v>
      </c>
      <c r="D76" s="408"/>
      <c r="E76" s="381"/>
      <c r="F76" s="409"/>
      <c r="G76" s="410">
        <f ca="1">G75-G29</f>
        <v>-103215</v>
      </c>
      <c r="H76" s="3"/>
      <c r="AE76" s="140" t="s">
        <v>571</v>
      </c>
      <c r="AF76" s="141">
        <v>1800</v>
      </c>
      <c r="AG76" s="141">
        <v>300</v>
      </c>
      <c r="AH76" s="141">
        <v>200</v>
      </c>
      <c r="AI76" s="141">
        <v>1800</v>
      </c>
      <c r="AJ76" s="141">
        <v>1800</v>
      </c>
      <c r="AK76" s="139">
        <f t="shared" si="21"/>
        <v>5900</v>
      </c>
      <c r="AL76" s="122"/>
      <c r="AM76" s="122"/>
      <c r="AN76" s="122"/>
      <c r="AO76" s="122"/>
      <c r="AP76" s="122"/>
      <c r="AQ76" s="122"/>
      <c r="AR76" s="122"/>
      <c r="BG76" s="122"/>
      <c r="BH76" s="122"/>
      <c r="BI76" s="122"/>
      <c r="BJ76" s="122"/>
      <c r="BK76" s="122"/>
      <c r="BL76" s="122"/>
      <c r="BM76" s="122"/>
      <c r="BN76" s="122"/>
      <c r="CA76" s="122"/>
      <c r="CB76" s="122"/>
      <c r="CC76" s="122"/>
      <c r="CD76" s="122"/>
      <c r="CE76" s="122"/>
      <c r="CF76" s="122"/>
      <c r="CG76" s="122"/>
      <c r="CH76" s="122"/>
    </row>
    <row r="77" spans="1:86" s="2" customFormat="1" ht="7.5" customHeight="1" thickBot="1" x14ac:dyDescent="0.25">
      <c r="AE77" s="494" t="s">
        <v>575</v>
      </c>
      <c r="AF77" s="511">
        <v>1800</v>
      </c>
      <c r="AG77" s="511">
        <v>300</v>
      </c>
      <c r="AH77" s="511">
        <v>300</v>
      </c>
      <c r="AI77" s="511">
        <v>1800</v>
      </c>
      <c r="AJ77" s="511">
        <v>1800</v>
      </c>
      <c r="AK77" s="506">
        <f t="shared" si="21"/>
        <v>6000</v>
      </c>
      <c r="AL77" s="122"/>
      <c r="AM77" s="122"/>
      <c r="AN77" s="122"/>
      <c r="AO77" s="122"/>
      <c r="AP77" s="122"/>
      <c r="AQ77" s="122"/>
      <c r="AR77" s="122"/>
      <c r="AZ77" s="1011" t="s">
        <v>22</v>
      </c>
      <c r="BA77" s="1012"/>
      <c r="BB77" s="1012"/>
      <c r="BC77" s="1012"/>
      <c r="BD77" s="1013"/>
      <c r="CA77" s="122"/>
      <c r="CB77" s="122"/>
      <c r="CC77" s="122"/>
      <c r="CD77" s="122"/>
      <c r="CE77" s="122"/>
      <c r="CF77" s="122"/>
      <c r="CG77" s="122"/>
      <c r="CH77" s="122"/>
    </row>
    <row r="78" spans="1:86" s="2" customFormat="1" ht="12" customHeight="1" thickBot="1" x14ac:dyDescent="0.25">
      <c r="A78" s="269" t="s">
        <v>386</v>
      </c>
      <c r="C78" s="984" t="s">
        <v>939</v>
      </c>
      <c r="D78" s="984"/>
      <c r="E78" s="984"/>
      <c r="F78" s="984"/>
      <c r="G78" s="984"/>
      <c r="H78" s="984"/>
      <c r="I78" s="984"/>
      <c r="J78" s="984"/>
      <c r="K78" s="984"/>
      <c r="L78" s="984"/>
      <c r="M78" s="984"/>
      <c r="AC78" s="1"/>
      <c r="AE78" s="948" t="s">
        <v>110</v>
      </c>
      <c r="AF78" s="949"/>
      <c r="AG78" s="949"/>
      <c r="AH78" s="949"/>
      <c r="AI78" s="949"/>
      <c r="AJ78" s="949"/>
      <c r="AK78" s="950"/>
      <c r="AL78" s="122"/>
      <c r="AM78" s="122"/>
      <c r="AN78" s="122"/>
      <c r="AO78" s="122"/>
      <c r="AP78" s="122"/>
      <c r="AQ78" s="122"/>
      <c r="AR78" s="122"/>
      <c r="AZ78" s="1014"/>
      <c r="BA78" s="1004"/>
      <c r="BB78" s="1004"/>
      <c r="BC78" s="1004"/>
      <c r="BD78" s="1015"/>
      <c r="BE78" s="122"/>
    </row>
    <row r="79" spans="1:86" s="2" customFormat="1" ht="12" customHeight="1" thickBot="1" x14ac:dyDescent="0.25">
      <c r="A79" s="269" t="s">
        <v>407</v>
      </c>
      <c r="C79" s="984" t="s">
        <v>940</v>
      </c>
      <c r="D79" s="984"/>
      <c r="E79" s="984"/>
      <c r="F79" s="984"/>
      <c r="G79" s="984"/>
      <c r="H79" s="984"/>
      <c r="I79" s="984"/>
      <c r="J79" s="984"/>
      <c r="K79" s="984"/>
      <c r="L79" s="984"/>
      <c r="M79" s="984"/>
      <c r="AL79" s="122"/>
      <c r="AM79" s="122"/>
      <c r="AN79" s="122"/>
      <c r="AO79" s="122"/>
      <c r="AP79" s="122"/>
      <c r="AQ79" s="122"/>
      <c r="AR79" s="122"/>
      <c r="AZ79" s="95"/>
      <c r="BA79" s="96"/>
      <c r="BB79" s="473" t="s">
        <v>33</v>
      </c>
      <c r="BC79" s="474"/>
      <c r="BD79" s="475"/>
      <c r="BE79" s="122"/>
      <c r="BF79" s="122"/>
      <c r="BG79" s="122"/>
      <c r="BH79" s="122"/>
      <c r="BI79" s="122"/>
      <c r="BJ79" s="122"/>
      <c r="BK79" s="18"/>
      <c r="BT79" s="1012" t="s">
        <v>309</v>
      </c>
      <c r="BU79" s="1012"/>
      <c r="BV79" s="1012"/>
      <c r="BW79" s="1012"/>
      <c r="BX79" s="1012"/>
    </row>
    <row r="80" spans="1:86" s="2" customFormat="1" ht="12" customHeight="1" thickBot="1" x14ac:dyDescent="0.25">
      <c r="A80" s="269" t="s">
        <v>408</v>
      </c>
      <c r="C80" s="984" t="s">
        <v>941</v>
      </c>
      <c r="D80" s="984"/>
      <c r="E80" s="984"/>
      <c r="F80" s="984"/>
      <c r="G80" s="984"/>
      <c r="H80" s="984"/>
      <c r="I80" s="984"/>
      <c r="J80" s="984"/>
      <c r="K80" s="984"/>
      <c r="L80" s="984"/>
      <c r="M80" s="984"/>
      <c r="AD80" s="1000" t="s">
        <v>22</v>
      </c>
      <c r="AE80" s="1001"/>
      <c r="AF80" s="1001"/>
      <c r="AG80" s="1001"/>
      <c r="AH80" s="1002"/>
      <c r="AK80" s="122"/>
      <c r="AL80" s="122"/>
      <c r="AM80" s="122"/>
      <c r="AN80" s="122"/>
      <c r="AO80" s="122"/>
      <c r="AP80" s="122"/>
      <c r="AQ80" s="122"/>
      <c r="AR80" s="122"/>
      <c r="AZ80" s="98" t="s">
        <v>121</v>
      </c>
      <c r="BA80" s="99"/>
      <c r="BB80" s="100" t="s">
        <v>122</v>
      </c>
      <c r="BC80" s="100" t="s">
        <v>38</v>
      </c>
      <c r="BD80" s="99" t="s">
        <v>123</v>
      </c>
      <c r="BE80" s="122"/>
      <c r="BF80" s="122"/>
      <c r="BG80" s="122"/>
      <c r="BH80" s="122"/>
      <c r="BI80" s="122"/>
      <c r="BJ80" s="122"/>
      <c r="BK80" s="18"/>
      <c r="BT80" s="1004"/>
      <c r="BU80" s="1004"/>
      <c r="BV80" s="1004"/>
      <c r="BW80" s="1004"/>
      <c r="BX80" s="1004"/>
      <c r="BY80" s="122"/>
      <c r="BZ80" s="122"/>
      <c r="CA80" s="122"/>
      <c r="CB80" s="122"/>
      <c r="CC80" s="122"/>
      <c r="CD80" s="122"/>
      <c r="CE80" s="18"/>
    </row>
    <row r="81" spans="1:92" s="2" customFormat="1" ht="12" customHeight="1" thickBot="1" x14ac:dyDescent="0.25">
      <c r="A81" s="269" t="s">
        <v>409</v>
      </c>
      <c r="C81" s="984" t="s">
        <v>942</v>
      </c>
      <c r="D81" s="984"/>
      <c r="E81" s="984"/>
      <c r="F81" s="984"/>
      <c r="G81" s="984"/>
      <c r="H81" s="984"/>
      <c r="I81" s="984"/>
      <c r="J81" s="984"/>
      <c r="K81" s="984"/>
      <c r="L81" s="984"/>
      <c r="M81" s="984"/>
      <c r="AD81" s="1003"/>
      <c r="AE81" s="1004"/>
      <c r="AF81" s="1004"/>
      <c r="AG81" s="1004"/>
      <c r="AH81" s="1005"/>
      <c r="AI81" s="122"/>
      <c r="AK81" s="122"/>
      <c r="AL81" s="122"/>
      <c r="AM81" s="122"/>
      <c r="AN81" s="122"/>
      <c r="AO81" s="122"/>
      <c r="AP81" s="122"/>
      <c r="AQ81" s="122"/>
      <c r="AR81" s="122"/>
      <c r="AZ81" s="101" t="s">
        <v>480</v>
      </c>
      <c r="BA81" s="22" t="s">
        <v>311</v>
      </c>
      <c r="BB81" s="106">
        <v>1</v>
      </c>
      <c r="BC81" s="230">
        <f>IF($G$17=0,0,($G$17*0.1)*35)</f>
        <v>525</v>
      </c>
      <c r="BD81" s="104">
        <f t="shared" ref="BD81:BD86" si="22">BB81*BC81</f>
        <v>525</v>
      </c>
      <c r="BE81" s="442" t="s">
        <v>41</v>
      </c>
      <c r="BF81" s="122"/>
      <c r="BG81" s="122"/>
      <c r="BH81" s="122"/>
      <c r="BI81" s="122"/>
      <c r="BJ81" s="122"/>
      <c r="BK81" s="18"/>
      <c r="BL81" s="1"/>
      <c r="BM81" s="1"/>
      <c r="BN81" s="1"/>
      <c r="BO81" s="1"/>
      <c r="BP81" s="1"/>
      <c r="BQ81" s="1"/>
      <c r="BT81" s="95"/>
      <c r="BU81" s="96"/>
      <c r="BV81" s="952" t="s">
        <v>33</v>
      </c>
      <c r="BW81" s="953"/>
      <c r="BX81" s="954"/>
      <c r="BY81" s="122"/>
      <c r="BZ81" s="122"/>
      <c r="CA81" s="122"/>
      <c r="CB81" s="122"/>
      <c r="CC81" s="122"/>
      <c r="CD81" s="122"/>
      <c r="CE81" s="18"/>
    </row>
    <row r="82" spans="1:92" s="2" customFormat="1" ht="12" customHeight="1" thickBot="1" x14ac:dyDescent="0.25">
      <c r="A82" s="269" t="s">
        <v>418</v>
      </c>
      <c r="C82" s="984" t="s">
        <v>943</v>
      </c>
      <c r="D82" s="984"/>
      <c r="E82" s="984"/>
      <c r="F82" s="984"/>
      <c r="G82" s="984"/>
      <c r="H82" s="984"/>
      <c r="I82" s="984"/>
      <c r="J82" s="984"/>
      <c r="K82" s="984"/>
      <c r="L82" s="984"/>
      <c r="M82" s="984"/>
      <c r="AD82" s="310"/>
      <c r="AE82" s="96"/>
      <c r="AF82" s="473" t="s">
        <v>33</v>
      </c>
      <c r="AG82" s="474"/>
      <c r="AH82" s="311"/>
      <c r="AI82" s="122"/>
      <c r="AZ82" s="101" t="s">
        <v>481</v>
      </c>
      <c r="BA82" s="22" t="s">
        <v>313</v>
      </c>
      <c r="BB82" s="106">
        <v>1</v>
      </c>
      <c r="BC82" s="230">
        <f>IF($G$17=0,0,IF(AH85&gt;0,0,IF($G$17&lt;=450,BB107,(IF($G$17&lt;=600,BB108,(IF($G$17&lt;=750,BB109,(IF($G$17&lt;=1000,BB110,(IF($G$17&lt;=1500,BB111,(IF($G$17&gt;1500,BB112)))))))))))))</f>
        <v>0</v>
      </c>
      <c r="BD82" s="104">
        <f t="shared" si="22"/>
        <v>0</v>
      </c>
      <c r="BE82" s="442"/>
      <c r="BF82" s="122"/>
      <c r="BG82" s="122"/>
      <c r="BH82" s="122"/>
      <c r="BI82" s="122"/>
      <c r="BJ82" s="122"/>
      <c r="BK82" s="1"/>
      <c r="BL82" s="1"/>
      <c r="BM82" s="1"/>
      <c r="BN82" s="1"/>
      <c r="BO82" s="1"/>
      <c r="BP82" s="1"/>
      <c r="BQ82" s="1"/>
      <c r="BT82" s="98" t="s">
        <v>121</v>
      </c>
      <c r="BU82" s="99"/>
      <c r="BV82" s="100" t="s">
        <v>122</v>
      </c>
      <c r="BW82" s="100" t="s">
        <v>38</v>
      </c>
      <c r="BX82" s="99" t="s">
        <v>123</v>
      </c>
      <c r="BY82" s="122"/>
      <c r="BZ82" s="122"/>
      <c r="CA82" s="122"/>
      <c r="CB82" s="122"/>
      <c r="CC82" s="122"/>
      <c r="CD82" s="122"/>
      <c r="CE82" s="18"/>
      <c r="CF82" s="1"/>
      <c r="CG82" s="1"/>
      <c r="CH82" s="1"/>
      <c r="CI82" s="1"/>
      <c r="CJ82" s="1"/>
      <c r="CK82" s="1"/>
      <c r="CL82" s="1"/>
      <c r="CM82" s="1"/>
      <c r="CN82" s="1"/>
    </row>
    <row r="83" spans="1:92" s="2" customFormat="1" ht="12" customHeight="1" thickBot="1" x14ac:dyDescent="0.25">
      <c r="A83" s="269" t="s">
        <v>412</v>
      </c>
      <c r="C83" s="984" t="s">
        <v>944</v>
      </c>
      <c r="D83" s="984"/>
      <c r="E83" s="984"/>
      <c r="F83" s="984"/>
      <c r="G83" s="984"/>
      <c r="H83" s="984"/>
      <c r="I83" s="984"/>
      <c r="J83" s="984"/>
      <c r="K83" s="984"/>
      <c r="L83" s="984"/>
      <c r="M83" s="984"/>
      <c r="AD83" s="312" t="s">
        <v>121</v>
      </c>
      <c r="AE83" s="99"/>
      <c r="AF83" s="100" t="s">
        <v>122</v>
      </c>
      <c r="AG83" s="100" t="s">
        <v>38</v>
      </c>
      <c r="AH83" s="313" t="s">
        <v>123</v>
      </c>
      <c r="AI83" s="122"/>
      <c r="AZ83" s="101" t="s">
        <v>482</v>
      </c>
      <c r="BA83" s="22" t="s">
        <v>315</v>
      </c>
      <c r="BB83" s="106">
        <v>1</v>
      </c>
      <c r="BC83" s="230">
        <f>IF($G$17=0,0,IF(AH86&gt;0,0,IF($G$17&lt;=450,BC107,(IF($G$17&lt;=600,BC108,(IF($G$17&lt;=750,BC109,(IF($G$17&lt;=1000,BC110,(IF($G$17&lt;=1500,BC111,(IF($G$17&gt;1500,BC112)))))))))))))</f>
        <v>0</v>
      </c>
      <c r="BD83" s="104">
        <f t="shared" si="22"/>
        <v>0</v>
      </c>
      <c r="BE83" s="442" t="s">
        <v>36</v>
      </c>
      <c r="BF83" s="122"/>
      <c r="BG83" s="122"/>
      <c r="BH83" s="122"/>
      <c r="BI83" s="122"/>
      <c r="BJ83" s="122"/>
      <c r="BK83" s="1"/>
      <c r="BL83" s="1"/>
      <c r="BM83" s="1"/>
      <c r="BN83" s="1"/>
      <c r="BO83" s="1"/>
      <c r="BP83" s="1"/>
      <c r="BQ83" s="1"/>
      <c r="BT83" s="101" t="s">
        <v>310</v>
      </c>
      <c r="BU83" s="22" t="s">
        <v>311</v>
      </c>
      <c r="BV83" s="106">
        <v>1</v>
      </c>
      <c r="BW83" s="230">
        <f>IF($G$16=0,0,($G$16*0.1)*30)</f>
        <v>900</v>
      </c>
      <c r="BX83" s="104">
        <f>BV83*BW83</f>
        <v>900</v>
      </c>
      <c r="BY83" s="442" t="s">
        <v>41</v>
      </c>
      <c r="BZ83" s="122"/>
      <c r="CA83" s="122"/>
      <c r="CB83" s="122"/>
      <c r="CC83" s="122"/>
      <c r="CD83" s="122"/>
      <c r="CE83" s="1"/>
      <c r="CF83" s="1"/>
      <c r="CG83" s="1"/>
      <c r="CH83" s="1"/>
      <c r="CI83" s="1"/>
      <c r="CJ83" s="1"/>
      <c r="CK83" s="1"/>
      <c r="CL83" s="1"/>
      <c r="CM83" s="1"/>
      <c r="CN83" s="1"/>
    </row>
    <row r="84" spans="1:92" s="2" customFormat="1" ht="12" customHeight="1" x14ac:dyDescent="0.2">
      <c r="A84" s="269" t="s">
        <v>413</v>
      </c>
      <c r="C84" s="984" t="s">
        <v>945</v>
      </c>
      <c r="D84" s="984"/>
      <c r="E84" s="984"/>
      <c r="F84" s="984"/>
      <c r="G84" s="984"/>
      <c r="H84" s="984"/>
      <c r="I84" s="984"/>
      <c r="J84" s="984"/>
      <c r="K84" s="984"/>
      <c r="L84" s="984"/>
      <c r="M84" s="984"/>
      <c r="AD84" s="435" t="s">
        <v>610</v>
      </c>
      <c r="AE84" s="22" t="s">
        <v>311</v>
      </c>
      <c r="AF84" s="106">
        <v>1</v>
      </c>
      <c r="AG84" s="230">
        <f>IF($G$18=0,0,($G$18*0.1)*35)</f>
        <v>700</v>
      </c>
      <c r="AH84" s="315">
        <f t="shared" ref="AH84:AH91" si="23">AF84*AG84</f>
        <v>700</v>
      </c>
      <c r="AI84" s="442" t="s">
        <v>41</v>
      </c>
      <c r="AJ84" s="122"/>
      <c r="AK84" s="122"/>
      <c r="AL84" s="122"/>
      <c r="AM84" s="122"/>
      <c r="AN84" s="122"/>
      <c r="AO84" s="18"/>
      <c r="AZ84" s="101" t="s">
        <v>483</v>
      </c>
      <c r="BA84" s="22" t="s">
        <v>317</v>
      </c>
      <c r="BB84" s="106">
        <v>1</v>
      </c>
      <c r="BC84" s="479">
        <f>IF($G$17=0,0,IF(AH87&gt;0,0,IF($G$17&lt;=450,BD107,(IF($G$17&lt;=600,BD108,(IF($G$17&lt;=750,BD109,(IF($G$17&lt;=1000,BD110,(IF($G$17&lt;=1500,BD111,(IF($G$17&gt;1500,BD112)))))))))))))</f>
        <v>0</v>
      </c>
      <c r="BD84" s="104">
        <f t="shared" si="22"/>
        <v>0</v>
      </c>
      <c r="BE84" s="478"/>
      <c r="BF84" s="122"/>
      <c r="BG84" s="122"/>
      <c r="BH84" s="122"/>
      <c r="BI84" s="122"/>
      <c r="BJ84" s="122"/>
      <c r="BK84" s="1"/>
      <c r="BL84" s="1"/>
      <c r="BM84" s="1"/>
      <c r="BN84" s="1"/>
      <c r="BO84" s="1"/>
      <c r="BP84" s="1"/>
      <c r="BQ84" s="1"/>
      <c r="BT84" s="101" t="s">
        <v>312</v>
      </c>
      <c r="BU84" s="22" t="s">
        <v>313</v>
      </c>
      <c r="BV84" s="106">
        <v>1</v>
      </c>
      <c r="BW84" s="230">
        <f>IF($G$16=0,0,IF(AH85&gt;0,0,IF($G$16&lt;=400,BV108,(IF($G$16&lt;=550,BV109,(IF($G$16&lt;=700,BV110,(IF($G$16&lt;=1000,BV111,(IF($G$16&lt;=1500,BV112,(IF($G$16&gt;1500,BV113)))))))))))))</f>
        <v>0</v>
      </c>
      <c r="BX84" s="104">
        <f>BV84*BW84</f>
        <v>0</v>
      </c>
      <c r="BY84" s="442"/>
      <c r="BZ84" s="122"/>
      <c r="CA84" s="122"/>
      <c r="CB84" s="122"/>
      <c r="CC84" s="122"/>
      <c r="CD84" s="122"/>
      <c r="CE84" s="1"/>
      <c r="CF84" s="1"/>
      <c r="CG84" s="1"/>
      <c r="CH84" s="1"/>
      <c r="CI84" s="1"/>
      <c r="CJ84" s="1"/>
      <c r="CK84" s="1"/>
      <c r="CL84" s="1"/>
      <c r="CM84" s="1"/>
      <c r="CN84" s="1"/>
    </row>
    <row r="85" spans="1:92" s="2" customFormat="1" ht="12" customHeight="1" x14ac:dyDescent="0.2">
      <c r="A85" s="269" t="s">
        <v>414</v>
      </c>
      <c r="C85" s="984" t="s">
        <v>946</v>
      </c>
      <c r="D85" s="984"/>
      <c r="E85" s="984"/>
      <c r="F85" s="984"/>
      <c r="G85" s="984"/>
      <c r="H85" s="984"/>
      <c r="I85" s="984"/>
      <c r="J85" s="984"/>
      <c r="K85" s="984"/>
      <c r="L85" s="984"/>
      <c r="M85" s="984"/>
      <c r="AD85" s="435" t="s">
        <v>611</v>
      </c>
      <c r="AE85" s="22" t="s">
        <v>313</v>
      </c>
      <c r="AF85" s="106">
        <v>1</v>
      </c>
      <c r="AG85" s="230">
        <f>IF($G$18=0,0,IF($G$18&lt;=450,AF112,(IF($G$18&lt;=800,AF113,(IF($G$18&lt;=1200,AF114,(IF($G$18&lt;=1600,AF115,(IF($G$18&gt;1600,AF116))))))))))</f>
        <v>120</v>
      </c>
      <c r="AH85" s="315">
        <f t="shared" si="23"/>
        <v>120</v>
      </c>
      <c r="AI85" s="442"/>
      <c r="AJ85" s="122"/>
      <c r="AK85" s="122"/>
      <c r="AL85" s="122"/>
      <c r="AM85" s="122"/>
      <c r="AN85" s="122"/>
      <c r="AO85" s="18"/>
      <c r="AZ85" s="105" t="s">
        <v>484</v>
      </c>
      <c r="BA85" s="22" t="s">
        <v>133</v>
      </c>
      <c r="BB85" s="106">
        <v>1</v>
      </c>
      <c r="BC85" s="230">
        <f>IF($G$17=0,0,IF(AH88&gt;0,0,IF($G$17&lt;=450,BE107,(IF($G$17&lt;=600,BE108,(IF($G$17&lt;=750,BE109,(IF($G$17&lt;=1000,BE110,(IF($G$17&lt;=1500,BE111,(IF($G$17&gt;1500,BE112)))))))))))))</f>
        <v>0</v>
      </c>
      <c r="BD85" s="104">
        <f t="shared" si="22"/>
        <v>0</v>
      </c>
      <c r="BE85" s="478"/>
      <c r="BF85" s="122"/>
      <c r="BG85" s="122"/>
      <c r="BH85" s="122"/>
      <c r="BI85" s="122"/>
      <c r="BJ85" s="122"/>
      <c r="BK85" s="168"/>
      <c r="BL85" s="1"/>
      <c r="BM85" s="1"/>
      <c r="BN85" s="1"/>
      <c r="BO85" s="1"/>
      <c r="BP85" s="1"/>
      <c r="BQ85" s="1"/>
      <c r="BT85" s="101" t="s">
        <v>314</v>
      </c>
      <c r="BU85" s="22" t="s">
        <v>315</v>
      </c>
      <c r="BV85" s="106">
        <v>1</v>
      </c>
      <c r="BW85" s="230">
        <f>IF($G$16=0,0,IF(AH86&gt;0,0,IF($G$16&lt;=400,BW108,(IF($G$16&lt;=550,BW109,(IF($G$16&lt;=700,BW110,(IF($G$16&lt;=1000,BW111,(IF($G$16&lt;=1500,BW112,(IF($G$16&gt;1500,BW113)))))))))))))</f>
        <v>0</v>
      </c>
      <c r="BX85" s="104">
        <f>BV85*BW85</f>
        <v>0</v>
      </c>
      <c r="BY85" s="442" t="s">
        <v>36</v>
      </c>
      <c r="BZ85" s="122"/>
      <c r="CA85" s="122"/>
      <c r="CB85" s="122"/>
      <c r="CC85" s="122"/>
      <c r="CD85" s="122"/>
      <c r="CE85" s="1"/>
      <c r="CF85" s="1"/>
      <c r="CG85" s="1"/>
      <c r="CH85" s="1"/>
      <c r="CI85" s="1"/>
      <c r="CJ85" s="1"/>
      <c r="CK85" s="1"/>
      <c r="CL85" s="1"/>
      <c r="CM85" s="1"/>
      <c r="CN85" s="1"/>
    </row>
    <row r="86" spans="1:92" ht="12" customHeight="1" x14ac:dyDescent="0.2">
      <c r="A86" s="269" t="s">
        <v>415</v>
      </c>
      <c r="B86" s="2"/>
      <c r="C86" s="984" t="s">
        <v>947</v>
      </c>
      <c r="D86" s="984"/>
      <c r="E86" s="984"/>
      <c r="F86" s="984"/>
      <c r="G86" s="984"/>
      <c r="H86" s="984"/>
      <c r="I86" s="984"/>
      <c r="J86" s="984"/>
      <c r="K86" s="984"/>
      <c r="L86" s="984"/>
      <c r="M86" s="984"/>
      <c r="N86" s="2"/>
      <c r="O86" s="2"/>
      <c r="P86" s="2"/>
      <c r="Q86" s="2"/>
      <c r="R86" s="2"/>
      <c r="S86" s="2"/>
      <c r="T86" s="2"/>
      <c r="U86" s="2"/>
      <c r="V86" s="2"/>
      <c r="W86" s="2"/>
      <c r="X86" s="2"/>
      <c r="Y86" s="2"/>
      <c r="Z86" s="2"/>
      <c r="AA86" s="2"/>
      <c r="AB86" s="2"/>
      <c r="AD86" s="435" t="s">
        <v>612</v>
      </c>
      <c r="AE86" s="22" t="s">
        <v>315</v>
      </c>
      <c r="AF86" s="106">
        <v>1</v>
      </c>
      <c r="AG86" s="230">
        <f>IF($G$18=0,0,IF($G$18&lt;350,210,IF($G$18&lt;=450,AG112,(IF($G$18&lt;=800,AG113,(IF($G$18&lt;=1200,AG114,(IF($G$18&lt;=1600,AG115,(IF($G$18&gt;1600,AG116)))))))))))</f>
        <v>210</v>
      </c>
      <c r="AH86" s="315">
        <f t="shared" si="23"/>
        <v>210</v>
      </c>
      <c r="AI86" s="442"/>
      <c r="AJ86" s="122"/>
      <c r="AK86" s="122"/>
      <c r="AL86" s="122"/>
      <c r="AM86" s="122"/>
      <c r="AN86" s="122"/>
      <c r="AO86" s="18"/>
      <c r="AZ86" s="105" t="s">
        <v>485</v>
      </c>
      <c r="BA86" s="22" t="s">
        <v>486</v>
      </c>
      <c r="BB86" s="106">
        <v>1</v>
      </c>
      <c r="BC86" s="300">
        <f>IF($G$17=0,0,IF(AH89&gt;0,0,IF($G$17&lt;=450,BF107,(IF($G$17&lt;=600,BF108,(IF($G$17&lt;=750,BF109,(IF($G$17&lt;=1000,BF110,(IF($G$17&lt;=1500,BF111,(IF($G$17&gt;1500,BF112)))))))))))))</f>
        <v>0</v>
      </c>
      <c r="BD86" s="112">
        <f t="shared" si="22"/>
        <v>0</v>
      </c>
      <c r="BE86" s="4"/>
      <c r="BF86" s="122"/>
      <c r="BG86" s="122"/>
      <c r="BH86" s="122"/>
      <c r="BI86" s="122"/>
      <c r="BJ86" s="122"/>
      <c r="BK86" s="18"/>
      <c r="BT86" s="101" t="s">
        <v>316</v>
      </c>
      <c r="BU86" s="22" t="s">
        <v>317</v>
      </c>
      <c r="BV86" s="106">
        <v>1</v>
      </c>
      <c r="BW86" s="479">
        <f>IF($G$16=0,0,IF(AH87&gt;0,0,IF($G$16&lt;=400,BX108,(IF($G$16&lt;=550,BX109,(IF($G$16&lt;=700,BX110,(IF($G$16&lt;=1000,BX111,(IF($G$16&lt;=1500,BX112,(IF($G$16&gt;1500,BX113)))))))))))))</f>
        <v>0</v>
      </c>
      <c r="BX86" s="104">
        <f>BV86*BW86</f>
        <v>0</v>
      </c>
      <c r="BY86" s="478"/>
      <c r="BZ86" s="122"/>
      <c r="CA86" s="122"/>
      <c r="CB86" s="122"/>
      <c r="CC86" s="122"/>
      <c r="CD86" s="122"/>
      <c r="CE86" s="168"/>
    </row>
    <row r="87" spans="1:92" ht="12" customHeight="1" x14ac:dyDescent="0.2">
      <c r="A87" s="269" t="s">
        <v>416</v>
      </c>
      <c r="B87" s="2"/>
      <c r="C87" s="984" t="s">
        <v>948</v>
      </c>
      <c r="D87" s="984"/>
      <c r="E87" s="984"/>
      <c r="F87" s="984"/>
      <c r="G87" s="984"/>
      <c r="H87" s="984"/>
      <c r="I87" s="984"/>
      <c r="J87" s="984"/>
      <c r="K87" s="984"/>
      <c r="L87" s="984"/>
      <c r="M87" s="984"/>
      <c r="N87" s="2"/>
      <c r="O87" s="2"/>
      <c r="P87" s="2"/>
      <c r="Q87" s="2"/>
      <c r="R87" s="2"/>
      <c r="S87" s="2"/>
      <c r="T87" s="2"/>
      <c r="U87" s="2"/>
      <c r="V87" s="2"/>
      <c r="W87" s="2"/>
      <c r="X87" s="2"/>
      <c r="Y87" s="2"/>
      <c r="Z87" s="2"/>
      <c r="AA87" s="2"/>
      <c r="AB87" s="2"/>
      <c r="AD87" s="435" t="s">
        <v>613</v>
      </c>
      <c r="AE87" s="22" t="s">
        <v>317</v>
      </c>
      <c r="AF87" s="106">
        <v>1</v>
      </c>
      <c r="AG87" s="230">
        <f>IF($G$18=0,0,IF($G$18&lt;=450,AH112,(IF($G$18&lt;=800,AH113,(IF($G$18&lt;=1200,AH114,(IF($G$18&lt;=1600,AH115,(IF($G$18&gt;1600,AH116))))))))))</f>
        <v>300</v>
      </c>
      <c r="AH87" s="315">
        <f t="shared" si="23"/>
        <v>300</v>
      </c>
      <c r="AI87" s="478"/>
      <c r="AJ87" s="122"/>
      <c r="AK87" s="122"/>
      <c r="AL87" s="122"/>
      <c r="AM87" s="122"/>
      <c r="AN87" s="122"/>
      <c r="AZ87" s="101"/>
      <c r="BA87" s="22"/>
      <c r="BB87" s="80"/>
      <c r="BC87" s="80" t="s">
        <v>319</v>
      </c>
      <c r="BD87" s="73"/>
      <c r="BE87" s="122"/>
      <c r="BF87" s="122"/>
      <c r="BG87" s="122"/>
      <c r="BH87" s="122"/>
      <c r="BI87" s="122"/>
      <c r="BJ87" s="122"/>
      <c r="BK87" s="18"/>
      <c r="BT87" s="105" t="s">
        <v>318</v>
      </c>
      <c r="BU87" s="22" t="s">
        <v>133</v>
      </c>
      <c r="BV87" s="106">
        <v>1</v>
      </c>
      <c r="BW87" s="480">
        <f>IF($G$16=0,0,IF(AH88&gt;0,0,IF($G$16&lt;=400,BY108,(IF($G$16&lt;=550,BY109,(IF($G$16&lt;=700,BY110,(IF($G$16&lt;=1000,BY111,(IF($G$16&lt;=1500,BY112,(IF($G$16&gt;1500,BY113)))))))))))))</f>
        <v>0</v>
      </c>
      <c r="BX87" s="112">
        <f>BV87*BW87</f>
        <v>0</v>
      </c>
      <c r="BY87" s="478"/>
      <c r="BZ87" s="122"/>
      <c r="CA87" s="122"/>
      <c r="CB87" s="122"/>
      <c r="CC87" s="122"/>
      <c r="CD87" s="122"/>
      <c r="CE87" s="18"/>
    </row>
    <row r="88" spans="1:92" ht="12" customHeight="1" thickBot="1" x14ac:dyDescent="0.25">
      <c r="A88" s="269" t="s">
        <v>417</v>
      </c>
      <c r="B88" s="2"/>
      <c r="C88" s="984" t="s">
        <v>949</v>
      </c>
      <c r="D88" s="984"/>
      <c r="E88" s="984"/>
      <c r="F88" s="984"/>
      <c r="G88" s="984"/>
      <c r="H88" s="984"/>
      <c r="I88" s="984"/>
      <c r="J88" s="984"/>
      <c r="K88" s="984"/>
      <c r="L88" s="984"/>
      <c r="M88" s="984"/>
      <c r="N88" s="2"/>
      <c r="O88" s="2"/>
      <c r="P88" s="2"/>
      <c r="Q88" s="2"/>
      <c r="R88" s="2"/>
      <c r="S88" s="2"/>
      <c r="T88" s="2"/>
      <c r="U88" s="2"/>
      <c r="V88" s="2"/>
      <c r="W88" s="2"/>
      <c r="X88" s="2"/>
      <c r="Y88" s="2"/>
      <c r="Z88" s="2"/>
      <c r="AA88" s="2"/>
      <c r="AB88" s="2"/>
      <c r="AD88" s="435" t="s">
        <v>614</v>
      </c>
      <c r="AE88" s="22" t="s">
        <v>133</v>
      </c>
      <c r="AF88" s="299">
        <v>1</v>
      </c>
      <c r="AG88" s="479">
        <f>IF($G$18=0,0,IF($G$18&lt;350,120,IF($G$18&lt;=450,AI112,(IF($G$18&lt;=800,AI113,(IF($G$18&lt;=1200,AI114,(IF($G$18&lt;=1600,AI115,(IF($G$18&gt;1600,AI116)))))))))))</f>
        <v>120</v>
      </c>
      <c r="AH88" s="315">
        <f t="shared" si="23"/>
        <v>120</v>
      </c>
      <c r="AI88" s="478"/>
      <c r="AJ88" s="122"/>
      <c r="AK88" s="122"/>
      <c r="AL88" s="122"/>
      <c r="AM88" s="122"/>
      <c r="AN88" s="122"/>
      <c r="AZ88" s="113" t="s">
        <v>320</v>
      </c>
      <c r="BA88" s="114"/>
      <c r="BB88" s="148"/>
      <c r="BC88" s="148"/>
      <c r="BD88" s="116">
        <f>SUM(BD81:BD86)</f>
        <v>525</v>
      </c>
      <c r="BE88" s="122"/>
      <c r="BF88" s="122"/>
      <c r="BG88" s="122"/>
      <c r="BH88" s="122"/>
      <c r="BI88" s="122"/>
      <c r="BJ88" s="122"/>
      <c r="BK88" s="18"/>
      <c r="BT88" s="101"/>
      <c r="BU88" s="22"/>
      <c r="BV88" s="80"/>
      <c r="BW88" s="80" t="s">
        <v>319</v>
      </c>
      <c r="BX88" s="73"/>
      <c r="BY88" s="122"/>
      <c r="BZ88" s="122"/>
      <c r="CA88" s="122"/>
      <c r="CB88" s="122"/>
      <c r="CC88" s="122"/>
      <c r="CD88" s="122"/>
      <c r="CE88" s="18"/>
    </row>
    <row r="89" spans="1:92" ht="12" customHeight="1" thickTop="1" thickBot="1" x14ac:dyDescent="0.25">
      <c r="A89" s="269" t="s">
        <v>419</v>
      </c>
      <c r="B89" s="2"/>
      <c r="C89" s="984" t="s">
        <v>950</v>
      </c>
      <c r="D89" s="984"/>
      <c r="E89" s="984"/>
      <c r="F89" s="984"/>
      <c r="G89" s="984"/>
      <c r="H89" s="984"/>
      <c r="I89" s="984"/>
      <c r="J89" s="984"/>
      <c r="K89" s="984"/>
      <c r="L89" s="984"/>
      <c r="M89" s="984"/>
      <c r="N89" s="2"/>
      <c r="O89" s="2"/>
      <c r="P89" s="2"/>
      <c r="Q89" s="2"/>
      <c r="R89" s="2"/>
      <c r="S89" s="2"/>
      <c r="T89" s="2"/>
      <c r="U89" s="2"/>
      <c r="V89" s="2"/>
      <c r="W89" s="2"/>
      <c r="X89" s="2"/>
      <c r="Y89" s="2"/>
      <c r="Z89" s="2"/>
      <c r="AA89" s="2"/>
      <c r="AB89" s="2"/>
      <c r="AD89" s="435" t="s">
        <v>615</v>
      </c>
      <c r="AE89" s="22" t="s">
        <v>486</v>
      </c>
      <c r="AF89" s="146">
        <v>1</v>
      </c>
      <c r="AG89" s="479">
        <f>IF($G$18=0,0,IF($G$18&lt;=450,AJ112,(IF($G$18&lt;=800,AJ113,(IF($G$18&lt;=1200,AJ114,(IF($G$18&lt;=1600,AJ115,(IF($G$18&gt;1600,AJ116))))))))))</f>
        <v>300</v>
      </c>
      <c r="AH89" s="315">
        <f t="shared" si="23"/>
        <v>300</v>
      </c>
      <c r="AI89" s="4"/>
      <c r="AJ89" s="122"/>
      <c r="AK89" s="122"/>
      <c r="AL89" s="122"/>
      <c r="AM89" s="122"/>
      <c r="AN89" s="122"/>
      <c r="AZ89" s="18"/>
      <c r="BA89" s="32"/>
      <c r="BB89" s="32"/>
      <c r="BC89" s="32"/>
      <c r="BD89" s="122"/>
      <c r="BE89" s="122"/>
      <c r="BF89" s="122"/>
      <c r="BG89" s="122"/>
      <c r="BH89" s="122"/>
      <c r="BI89" s="122"/>
      <c r="BJ89" s="122"/>
      <c r="BK89" s="18"/>
      <c r="BT89" s="113" t="s">
        <v>320</v>
      </c>
      <c r="BU89" s="114"/>
      <c r="BV89" s="148"/>
      <c r="BW89" s="148"/>
      <c r="BX89" s="116">
        <f>SUM(BX83:BX87)</f>
        <v>900</v>
      </c>
      <c r="BY89" s="122"/>
      <c r="BZ89" s="122"/>
      <c r="CA89" s="122"/>
      <c r="CB89" s="122"/>
      <c r="CC89" s="122"/>
      <c r="CD89" s="122"/>
      <c r="CE89" s="18"/>
    </row>
    <row r="90" spans="1:92" ht="12" customHeight="1" thickTop="1" thickBot="1" x14ac:dyDescent="0.25">
      <c r="A90" s="269" t="s">
        <v>420</v>
      </c>
      <c r="C90" s="984" t="s">
        <v>951</v>
      </c>
      <c r="D90" s="984"/>
      <c r="E90" s="984"/>
      <c r="F90" s="984"/>
      <c r="G90" s="984"/>
      <c r="H90" s="984"/>
      <c r="I90" s="984"/>
      <c r="J90" s="984"/>
      <c r="K90" s="984"/>
      <c r="L90" s="984"/>
      <c r="M90" s="984"/>
      <c r="N90" s="2"/>
      <c r="O90" s="2"/>
      <c r="P90" s="2"/>
      <c r="Q90" s="2"/>
      <c r="R90" s="2"/>
      <c r="S90" s="2"/>
      <c r="T90" s="2"/>
      <c r="U90" s="2"/>
      <c r="V90" s="2"/>
      <c r="W90" s="2"/>
      <c r="X90" s="2"/>
      <c r="Y90" s="2"/>
      <c r="Z90" s="483"/>
      <c r="AA90" s="439" t="s">
        <v>768</v>
      </c>
      <c r="AB90" s="449"/>
      <c r="AD90" s="376" t="s">
        <v>616</v>
      </c>
      <c r="AE90" s="647" t="s">
        <v>829</v>
      </c>
      <c r="AF90" s="146">
        <v>1</v>
      </c>
      <c r="AG90" s="230">
        <f>IF($G$18=0,0,IF($G$18&lt;350,100,IF($G$18&lt;=450,AK112,(IF($G$18&lt;=800,AK113,(IF($G$18&lt;=1200,AK114,(IF($G$18&lt;=1600,AK115,(IF($G$18&gt;1600,AK116)))))))))))</f>
        <v>100</v>
      </c>
      <c r="AH90" s="315">
        <f t="shared" si="23"/>
        <v>100</v>
      </c>
      <c r="AI90" s="4"/>
      <c r="AJ90" s="122"/>
      <c r="AK90" s="122"/>
      <c r="AL90" s="122"/>
      <c r="AM90" s="122"/>
      <c r="AN90" s="122"/>
      <c r="AO90" s="168"/>
      <c r="AZ90" s="945" t="s">
        <v>321</v>
      </c>
      <c r="BA90" s="946"/>
      <c r="BB90" s="946"/>
      <c r="BC90" s="946"/>
      <c r="BD90" s="946"/>
      <c r="BE90" s="946"/>
      <c r="BF90" s="947"/>
      <c r="BG90" s="122"/>
      <c r="BH90" s="122"/>
      <c r="BI90" s="122"/>
      <c r="BJ90" s="122"/>
      <c r="BK90" s="18"/>
      <c r="BT90" s="18"/>
      <c r="BU90" s="32"/>
      <c r="BV90" s="32"/>
      <c r="BW90" s="32"/>
      <c r="BX90" s="122"/>
      <c r="BY90" s="122"/>
      <c r="BZ90" s="122"/>
      <c r="CA90" s="122"/>
      <c r="CB90" s="122"/>
      <c r="CC90" s="122"/>
      <c r="CD90" s="122"/>
      <c r="CE90" s="18"/>
    </row>
    <row r="91" spans="1:92" ht="12" customHeight="1" thickBot="1" x14ac:dyDescent="0.25">
      <c r="A91" s="269" t="s">
        <v>433</v>
      </c>
      <c r="B91" s="2"/>
      <c r="C91" s="984" t="s">
        <v>952</v>
      </c>
      <c r="D91" s="984"/>
      <c r="E91" s="984"/>
      <c r="F91" s="984"/>
      <c r="G91" s="984"/>
      <c r="H91" s="984"/>
      <c r="I91" s="984"/>
      <c r="J91" s="984"/>
      <c r="K91" s="984"/>
      <c r="L91" s="984"/>
      <c r="M91" s="984"/>
      <c r="N91" s="2"/>
      <c r="O91" s="2"/>
      <c r="P91" s="2"/>
      <c r="Q91" s="2"/>
      <c r="R91" s="2"/>
      <c r="S91" s="2"/>
      <c r="T91" s="2"/>
      <c r="U91" s="2"/>
      <c r="V91" s="2"/>
      <c r="W91" s="2"/>
      <c r="X91" s="2"/>
      <c r="Y91" s="2"/>
      <c r="Z91" s="484" t="s">
        <v>763</v>
      </c>
      <c r="AA91" s="485" t="s">
        <v>764</v>
      </c>
      <c r="AB91" s="486" t="s">
        <v>765</v>
      </c>
      <c r="AD91" s="376" t="s">
        <v>561</v>
      </c>
      <c r="AE91" s="22" t="s">
        <v>261</v>
      </c>
      <c r="AF91" s="146">
        <v>1</v>
      </c>
      <c r="AG91" s="300">
        <f>IF($G$18=0,0,IF($G$18&lt;350,0,IF($G$18&lt;=450,AL112,(IF($G$18&lt;=800,AL113,(IF($G$18&lt;=1200,AL114,(IF($G$18&lt;=1600,AL115,(IF($G$18&gt;1600,AL116)))))))))))</f>
        <v>0</v>
      </c>
      <c r="AH91" s="316">
        <f t="shared" si="23"/>
        <v>0</v>
      </c>
      <c r="AI91" s="4"/>
      <c r="AJ91" s="122"/>
      <c r="AK91" s="122"/>
      <c r="AL91" s="122"/>
      <c r="AM91" s="122"/>
      <c r="AN91" s="122"/>
      <c r="AO91" s="18"/>
      <c r="AZ91" s="149" t="s">
        <v>23</v>
      </c>
      <c r="BA91" s="150" t="s">
        <v>24</v>
      </c>
      <c r="BB91" s="151"/>
      <c r="BC91" s="151"/>
      <c r="BD91" s="151"/>
      <c r="BE91" s="151"/>
      <c r="BF91" s="152"/>
      <c r="BG91" s="122"/>
      <c r="BH91" s="122"/>
      <c r="BI91" s="122"/>
      <c r="BJ91" s="122"/>
      <c r="BK91" s="18"/>
      <c r="BT91" s="945" t="s">
        <v>321</v>
      </c>
      <c r="BU91" s="946"/>
      <c r="BV91" s="946"/>
      <c r="BW91" s="946"/>
      <c r="BX91" s="946"/>
      <c r="BY91" s="946"/>
      <c r="BZ91" s="947"/>
      <c r="CA91" s="122"/>
      <c r="CB91" s="122"/>
      <c r="CC91" s="122"/>
      <c r="CD91" s="122"/>
      <c r="CE91" s="18"/>
    </row>
    <row r="92" spans="1:92" ht="12" customHeight="1" thickBot="1" x14ac:dyDescent="0.25">
      <c r="A92" s="269" t="s">
        <v>434</v>
      </c>
      <c r="B92" s="2"/>
      <c r="C92" s="984" t="s">
        <v>421</v>
      </c>
      <c r="D92" s="984"/>
      <c r="E92" s="984"/>
      <c r="F92" s="984"/>
      <c r="G92" s="984"/>
      <c r="H92" s="984"/>
      <c r="I92" s="984"/>
      <c r="J92" s="984"/>
      <c r="K92" s="984"/>
      <c r="L92" s="984"/>
      <c r="M92" s="984"/>
      <c r="Z92" s="487">
        <f>BX89</f>
        <v>900</v>
      </c>
      <c r="AA92" s="488">
        <f>BD88</f>
        <v>525</v>
      </c>
      <c r="AB92" s="489">
        <f>AH93</f>
        <v>1850</v>
      </c>
      <c r="AD92" s="314"/>
      <c r="AE92" s="49"/>
      <c r="AF92" s="309"/>
      <c r="AG92" s="230"/>
      <c r="AH92" s="372"/>
      <c r="AI92" s="122"/>
      <c r="AJ92" s="122"/>
      <c r="AK92" s="122"/>
      <c r="AL92" s="122"/>
      <c r="AM92" s="122"/>
      <c r="AN92" s="122"/>
      <c r="AO92" s="18"/>
      <c r="AZ92" s="68">
        <v>1</v>
      </c>
      <c r="BA92" s="153" t="s">
        <v>322</v>
      </c>
      <c r="BB92" s="154"/>
      <c r="BC92" s="154"/>
      <c r="BD92" s="154"/>
      <c r="BE92" s="154"/>
      <c r="BF92" s="155"/>
      <c r="BG92" s="122"/>
      <c r="BH92" s="122"/>
      <c r="BI92" s="122"/>
      <c r="BJ92" s="122"/>
      <c r="BK92" s="18"/>
      <c r="BT92" s="149" t="s">
        <v>23</v>
      </c>
      <c r="BU92" s="150" t="s">
        <v>24</v>
      </c>
      <c r="BV92" s="151"/>
      <c r="BW92" s="151"/>
      <c r="BX92" s="151"/>
      <c r="BY92" s="151"/>
      <c r="BZ92" s="152"/>
      <c r="CA92" s="122"/>
      <c r="CB92" s="122"/>
      <c r="CC92" s="122"/>
      <c r="CD92" s="122"/>
      <c r="CE92" s="18"/>
    </row>
    <row r="93" spans="1:92" ht="12" customHeight="1" thickBot="1" x14ac:dyDescent="0.25">
      <c r="A93" s="269" t="s">
        <v>435</v>
      </c>
      <c r="B93" s="2"/>
      <c r="C93" s="984" t="s">
        <v>426</v>
      </c>
      <c r="D93" s="984"/>
      <c r="E93" s="984"/>
      <c r="F93" s="984"/>
      <c r="G93" s="984"/>
      <c r="H93" s="984"/>
      <c r="I93" s="984"/>
      <c r="J93" s="984"/>
      <c r="K93" s="984"/>
      <c r="L93" s="984"/>
      <c r="M93" s="984"/>
      <c r="Z93" s="490"/>
      <c r="AA93" s="448">
        <f>SUM(Z92:AB92)</f>
        <v>3275</v>
      </c>
      <c r="AB93" s="449"/>
      <c r="AD93" s="319" t="s">
        <v>320</v>
      </c>
      <c r="AE93" s="320"/>
      <c r="AF93" s="321"/>
      <c r="AG93" s="321"/>
      <c r="AH93" s="322">
        <f>SUM(AH84:AH91)</f>
        <v>1850</v>
      </c>
      <c r="AI93" s="122"/>
      <c r="AJ93" s="122"/>
      <c r="AK93" s="122"/>
      <c r="AL93" s="122"/>
      <c r="AM93" s="122"/>
      <c r="AN93" s="122"/>
      <c r="AO93" s="18"/>
      <c r="AZ93" s="71"/>
      <c r="BA93" s="164" t="s">
        <v>617</v>
      </c>
      <c r="BB93" s="170"/>
      <c r="BC93" s="170"/>
      <c r="BD93" s="170"/>
      <c r="BE93" s="170"/>
      <c r="BF93" s="171"/>
      <c r="BG93" s="18"/>
      <c r="BH93" s="18"/>
      <c r="BI93" s="18"/>
      <c r="BJ93" s="18"/>
      <c r="BK93" s="18"/>
      <c r="BT93" s="68">
        <v>1</v>
      </c>
      <c r="BU93" s="153" t="s">
        <v>322</v>
      </c>
      <c r="BV93" s="154"/>
      <c r="BW93" s="154"/>
      <c r="BX93" s="154"/>
      <c r="BY93" s="154"/>
      <c r="BZ93" s="155"/>
      <c r="CA93" s="122"/>
      <c r="CB93" s="122"/>
      <c r="CC93" s="122"/>
      <c r="CD93" s="122"/>
      <c r="CE93" s="18"/>
    </row>
    <row r="94" spans="1:92" ht="12" customHeight="1" thickBot="1" x14ac:dyDescent="0.25">
      <c r="A94" s="2"/>
      <c r="B94" s="2"/>
      <c r="C94" s="2"/>
      <c r="D94" s="2"/>
      <c r="E94" s="2"/>
      <c r="F94" s="2"/>
      <c r="G94" s="2"/>
      <c r="H94" s="7"/>
      <c r="I94" s="7"/>
      <c r="J94" s="7"/>
      <c r="K94" s="7"/>
      <c r="L94" s="7"/>
      <c r="M94" s="7"/>
      <c r="AD94" s="18"/>
      <c r="AE94" s="32"/>
      <c r="AF94" s="32"/>
      <c r="AG94" s="32"/>
      <c r="AH94" s="122"/>
      <c r="AI94" s="122"/>
      <c r="AJ94" s="122"/>
      <c r="AK94" s="122"/>
      <c r="AL94" s="122"/>
      <c r="AM94" s="122"/>
      <c r="AN94" s="122"/>
      <c r="AO94" s="18"/>
      <c r="AZ94" s="18"/>
      <c r="BA94" s="18"/>
      <c r="BB94" s="18"/>
      <c r="BC94" s="18"/>
      <c r="BD94" s="18"/>
      <c r="BE94" s="18"/>
      <c r="BF94" s="18"/>
      <c r="BG94" s="18"/>
      <c r="BH94" s="18"/>
      <c r="BI94" s="18"/>
      <c r="BJ94" s="18"/>
      <c r="BK94" s="18"/>
      <c r="BT94" s="71"/>
      <c r="BU94" s="164" t="s">
        <v>323</v>
      </c>
      <c r="BV94" s="170"/>
      <c r="BW94" s="170"/>
      <c r="BX94" s="170"/>
      <c r="BY94" s="170"/>
      <c r="BZ94" s="171"/>
      <c r="CA94" s="18"/>
      <c r="CB94" s="18"/>
      <c r="CC94" s="18"/>
      <c r="CD94" s="18"/>
      <c r="CE94" s="18"/>
    </row>
    <row r="95" spans="1:92" ht="12" customHeight="1" thickBot="1" x14ac:dyDescent="0.25">
      <c r="A95" s="55" t="s">
        <v>34</v>
      </c>
      <c r="B95" s="55"/>
      <c r="C95" s="55"/>
      <c r="D95" s="13"/>
      <c r="E95" s="56"/>
      <c r="F95" s="13"/>
      <c r="G95" s="57"/>
      <c r="H95" s="15"/>
      <c r="I95" s="15"/>
      <c r="J95" s="2"/>
      <c r="K95" s="2"/>
      <c r="L95" s="2"/>
      <c r="M95" s="869">
        <f>CurrentYear</f>
        <v>2013</v>
      </c>
      <c r="AD95" s="945" t="s">
        <v>321</v>
      </c>
      <c r="AE95" s="946"/>
      <c r="AF95" s="946"/>
      <c r="AG95" s="946"/>
      <c r="AH95" s="946"/>
      <c r="AI95" s="946"/>
      <c r="AJ95" s="947"/>
      <c r="AK95" s="122"/>
      <c r="AL95" s="122"/>
      <c r="AM95" s="122"/>
      <c r="AN95" s="122"/>
      <c r="AO95" s="18"/>
      <c r="AZ95" s="18"/>
      <c r="BA95" s="945" t="s">
        <v>102</v>
      </c>
      <c r="BB95" s="947"/>
      <c r="BC95" s="172"/>
      <c r="BD95" s="172"/>
      <c r="BE95" s="172"/>
      <c r="BF95" s="172"/>
      <c r="BG95" s="172"/>
      <c r="BH95" s="18"/>
      <c r="BI95" s="18"/>
      <c r="BJ95" s="18"/>
      <c r="BK95" s="18"/>
      <c r="BT95" s="18"/>
      <c r="BU95" s="18"/>
      <c r="BV95" s="18"/>
      <c r="BW95" s="18"/>
      <c r="BX95" s="18"/>
      <c r="BY95" s="18"/>
      <c r="BZ95" s="18"/>
      <c r="CA95" s="18"/>
      <c r="CB95" s="18"/>
      <c r="CC95" s="18"/>
      <c r="CD95" s="18"/>
      <c r="CE95" s="18"/>
    </row>
    <row r="96" spans="1:92" ht="12" customHeight="1" thickBot="1" x14ac:dyDescent="0.25">
      <c r="A96" s="58" t="s">
        <v>35</v>
      </c>
      <c r="B96" s="2"/>
      <c r="C96" s="2"/>
      <c r="D96" s="2"/>
      <c r="E96" s="2"/>
      <c r="F96" s="819" t="s">
        <v>953</v>
      </c>
      <c r="G96" s="820"/>
      <c r="H96" s="39"/>
      <c r="I96" s="15"/>
      <c r="J96" s="15"/>
      <c r="K96" s="2"/>
      <c r="L96" s="2"/>
      <c r="M96" s="255"/>
      <c r="AD96" s="149" t="s">
        <v>23</v>
      </c>
      <c r="AE96" s="150" t="s">
        <v>24</v>
      </c>
      <c r="AF96" s="151"/>
      <c r="AG96" s="151"/>
      <c r="AH96" s="151"/>
      <c r="AI96" s="151"/>
      <c r="AJ96" s="152"/>
      <c r="AK96" s="122"/>
      <c r="AL96" s="122"/>
      <c r="AM96" s="122"/>
      <c r="AN96" s="122"/>
      <c r="AO96" s="18"/>
      <c r="AZ96" s="18"/>
      <c r="BA96" s="173" t="s">
        <v>103</v>
      </c>
      <c r="BB96" s="174" t="s">
        <v>329</v>
      </c>
      <c r="BC96" s="175"/>
      <c r="BD96" s="175"/>
      <c r="BE96" s="175"/>
      <c r="BF96" s="175"/>
      <c r="BG96" s="175"/>
      <c r="BH96" s="18"/>
      <c r="BI96" s="18"/>
      <c r="BJ96" s="18"/>
      <c r="BK96" s="18"/>
      <c r="BT96" s="18"/>
      <c r="BU96" s="945" t="s">
        <v>102</v>
      </c>
      <c r="BV96" s="947"/>
      <c r="BW96" s="172"/>
      <c r="BX96" s="172"/>
      <c r="BY96" s="172"/>
      <c r="BZ96" s="172"/>
      <c r="CA96" s="172"/>
      <c r="CB96" s="18"/>
      <c r="CC96" s="18"/>
      <c r="CD96" s="18"/>
      <c r="CE96" s="18"/>
    </row>
    <row r="97" spans="30:83" ht="12" customHeight="1" thickBot="1" x14ac:dyDescent="0.25">
      <c r="AD97" s="68">
        <v>1</v>
      </c>
      <c r="AE97" s="153" t="s">
        <v>322</v>
      </c>
      <c r="AF97" s="154"/>
      <c r="AG97" s="154"/>
      <c r="AH97" s="154"/>
      <c r="AI97" s="154"/>
      <c r="AJ97" s="155"/>
      <c r="AK97" s="122"/>
      <c r="AL97" s="122"/>
      <c r="AM97" s="122"/>
      <c r="AN97" s="122"/>
      <c r="AO97" s="18"/>
      <c r="AZ97" s="117"/>
      <c r="BA97" s="137" t="s">
        <v>458</v>
      </c>
      <c r="BB97" s="177">
        <v>190</v>
      </c>
      <c r="BC97" s="178"/>
      <c r="BD97" s="178"/>
      <c r="BE97" s="178"/>
      <c r="BF97" s="178"/>
      <c r="BG97" s="178"/>
      <c r="BH97" s="117"/>
      <c r="BI97" s="117"/>
      <c r="BJ97" s="117"/>
      <c r="BK97" s="117"/>
      <c r="BT97" s="18"/>
      <c r="BU97" s="173" t="s">
        <v>103</v>
      </c>
      <c r="BV97" s="174" t="s">
        <v>329</v>
      </c>
      <c r="BW97" s="175"/>
      <c r="BX97" s="175"/>
      <c r="BY97" s="175"/>
      <c r="BZ97" s="175"/>
      <c r="CA97" s="175"/>
      <c r="CB97" s="18"/>
      <c r="CC97" s="18"/>
      <c r="CD97" s="18"/>
      <c r="CE97" s="18"/>
    </row>
    <row r="98" spans="30:83" ht="12" customHeight="1" thickBot="1" x14ac:dyDescent="0.25">
      <c r="AD98" s="71"/>
      <c r="AE98" s="164" t="s">
        <v>617</v>
      </c>
      <c r="AF98" s="170"/>
      <c r="AG98" s="170"/>
      <c r="AH98" s="170"/>
      <c r="AI98" s="170"/>
      <c r="AJ98" s="171"/>
      <c r="AK98" s="18"/>
      <c r="AL98" s="18"/>
      <c r="AM98" s="18"/>
      <c r="AN98" s="18"/>
      <c r="AO98" s="18"/>
      <c r="AZ98" s="117"/>
      <c r="BA98" s="140" t="s">
        <v>459</v>
      </c>
      <c r="BB98" s="180">
        <v>250</v>
      </c>
      <c r="BC98" s="178"/>
      <c r="BD98" s="178"/>
      <c r="BE98" s="178"/>
      <c r="BF98" s="178"/>
      <c r="BG98" s="178"/>
      <c r="BH98" s="122"/>
      <c r="BI98" s="122"/>
      <c r="BJ98" s="122"/>
      <c r="BK98" s="117"/>
      <c r="BT98" s="117"/>
      <c r="BU98" s="176" t="s">
        <v>104</v>
      </c>
      <c r="BV98" s="177">
        <v>190</v>
      </c>
      <c r="BW98" s="178"/>
      <c r="BX98" s="178"/>
      <c r="BY98" s="178"/>
      <c r="BZ98" s="178"/>
      <c r="CA98" s="178"/>
      <c r="CB98" s="117"/>
      <c r="CC98" s="117"/>
      <c r="CD98" s="117"/>
      <c r="CE98" s="117"/>
    </row>
    <row r="99" spans="30:83" ht="12" customHeight="1" thickBot="1" x14ac:dyDescent="0.25">
      <c r="AD99" s="18"/>
      <c r="AE99" s="18"/>
      <c r="AF99" s="18"/>
      <c r="AG99" s="18"/>
      <c r="AH99" s="18"/>
      <c r="AI99" s="18"/>
      <c r="AJ99" s="18"/>
      <c r="AK99" s="18"/>
      <c r="AL99" s="18"/>
      <c r="AM99" s="18"/>
      <c r="AN99" s="18"/>
      <c r="AO99" s="18"/>
      <c r="AZ99" s="117"/>
      <c r="BA99" s="140" t="s">
        <v>456</v>
      </c>
      <c r="BB99" s="180">
        <v>340</v>
      </c>
      <c r="BC99" s="178"/>
      <c r="BD99" s="178"/>
      <c r="BE99" s="178"/>
      <c r="BF99" s="178"/>
      <c r="BG99" s="178"/>
      <c r="BH99" s="122"/>
      <c r="BI99" s="122"/>
      <c r="BJ99" s="122"/>
      <c r="BK99" s="117"/>
      <c r="BT99" s="117"/>
      <c r="BU99" s="179" t="s">
        <v>105</v>
      </c>
      <c r="BV99" s="180">
        <v>250</v>
      </c>
      <c r="BW99" s="178"/>
      <c r="BX99" s="178"/>
      <c r="BY99" s="178"/>
      <c r="BZ99" s="178"/>
      <c r="CA99" s="178"/>
      <c r="CB99" s="122"/>
      <c r="CC99" s="122"/>
      <c r="CD99" s="122"/>
      <c r="CE99" s="117"/>
    </row>
    <row r="100" spans="30:83" ht="12" customHeight="1" thickBot="1" x14ac:dyDescent="0.25">
      <c r="AD100" s="18"/>
      <c r="AE100" s="945" t="s">
        <v>102</v>
      </c>
      <c r="AF100" s="947"/>
      <c r="AG100" s="172"/>
      <c r="AH100" s="172"/>
      <c r="AI100" s="172"/>
      <c r="AJ100" s="172"/>
      <c r="AK100" s="172"/>
      <c r="AL100" s="18"/>
      <c r="AM100" s="18"/>
      <c r="AN100" s="18"/>
      <c r="AO100" s="18"/>
      <c r="AZ100" s="117"/>
      <c r="BA100" s="140" t="s">
        <v>457</v>
      </c>
      <c r="BB100" s="180">
        <v>350</v>
      </c>
      <c r="BC100" s="178"/>
      <c r="BD100" s="178"/>
      <c r="BE100" s="178"/>
      <c r="BF100" s="178"/>
      <c r="BG100" s="178"/>
      <c r="BH100" s="122"/>
      <c r="BI100" s="122"/>
      <c r="BJ100" s="122"/>
      <c r="BK100" s="117"/>
      <c r="BT100" s="117"/>
      <c r="BU100" s="179" t="s">
        <v>106</v>
      </c>
      <c r="BV100" s="180">
        <v>340</v>
      </c>
      <c r="BW100" s="178"/>
      <c r="BX100" s="178"/>
      <c r="BY100" s="178"/>
      <c r="BZ100" s="178"/>
      <c r="CA100" s="178"/>
      <c r="CB100" s="122"/>
      <c r="CC100" s="122"/>
      <c r="CD100" s="122"/>
      <c r="CE100" s="117"/>
    </row>
    <row r="101" spans="30:83" ht="12" customHeight="1" thickBot="1" x14ac:dyDescent="0.25">
      <c r="AD101" s="18"/>
      <c r="AE101" s="173" t="s">
        <v>103</v>
      </c>
      <c r="AF101" s="174" t="s">
        <v>329</v>
      </c>
      <c r="AG101" s="175"/>
      <c r="AH101" s="175"/>
      <c r="AI101" s="175"/>
      <c r="AJ101" s="175"/>
      <c r="AK101" s="175"/>
      <c r="AL101" s="18"/>
      <c r="AM101" s="18"/>
      <c r="AN101" s="18"/>
      <c r="AO101" s="18"/>
      <c r="AZ101" s="117"/>
      <c r="BA101" s="140" t="s">
        <v>108</v>
      </c>
      <c r="BB101" s="180">
        <v>400</v>
      </c>
      <c r="BC101" s="178"/>
      <c r="BD101" s="178"/>
      <c r="BE101" s="178"/>
      <c r="BF101" s="178"/>
      <c r="BG101" s="178"/>
      <c r="BH101" s="122"/>
      <c r="BI101" s="122"/>
      <c r="BJ101" s="122"/>
      <c r="BK101" s="117"/>
      <c r="BT101" s="117"/>
      <c r="BU101" s="179" t="s">
        <v>107</v>
      </c>
      <c r="BV101" s="180">
        <v>350</v>
      </c>
      <c r="BW101" s="178"/>
      <c r="BX101" s="178"/>
      <c r="BY101" s="178"/>
      <c r="BZ101" s="178"/>
      <c r="CA101" s="178"/>
      <c r="CB101" s="122"/>
      <c r="CC101" s="122"/>
      <c r="CD101" s="122"/>
      <c r="CE101" s="117"/>
    </row>
    <row r="102" spans="30:83" ht="12" customHeight="1" thickBot="1" x14ac:dyDescent="0.25">
      <c r="AD102" s="117"/>
      <c r="AE102" s="137" t="s">
        <v>458</v>
      </c>
      <c r="AF102" s="177">
        <v>190</v>
      </c>
      <c r="AG102" s="178"/>
      <c r="AH102" s="178"/>
      <c r="AI102" s="178"/>
      <c r="AJ102" s="178"/>
      <c r="AK102" s="178"/>
      <c r="AL102" s="117"/>
      <c r="AM102" s="117"/>
      <c r="AN102" s="117"/>
      <c r="AO102" s="117"/>
      <c r="AZ102" s="117"/>
      <c r="BA102" s="142" t="s">
        <v>109</v>
      </c>
      <c r="BB102" s="181">
        <v>400</v>
      </c>
      <c r="BC102" s="178"/>
      <c r="BD102" s="178"/>
      <c r="BE102" s="178"/>
      <c r="BF102" s="178"/>
      <c r="BG102" s="178"/>
      <c r="BH102" s="122"/>
      <c r="BI102" s="122"/>
      <c r="BJ102" s="122"/>
      <c r="BK102" s="117"/>
      <c r="BT102" s="117"/>
      <c r="BU102" s="179" t="s">
        <v>108</v>
      </c>
      <c r="BV102" s="180">
        <v>400</v>
      </c>
      <c r="BW102" s="178"/>
      <c r="BX102" s="178"/>
      <c r="BY102" s="178"/>
      <c r="BZ102" s="178"/>
      <c r="CA102" s="178"/>
      <c r="CB102" s="122"/>
      <c r="CC102" s="122"/>
      <c r="CD102" s="122"/>
      <c r="CE102" s="117"/>
    </row>
    <row r="103" spans="30:83" ht="12" customHeight="1" thickBot="1" x14ac:dyDescent="0.25">
      <c r="AD103" s="117"/>
      <c r="AE103" s="140" t="s">
        <v>569</v>
      </c>
      <c r="AF103" s="180">
        <v>250</v>
      </c>
      <c r="AG103" s="178"/>
      <c r="AH103" s="178"/>
      <c r="AI103" s="178"/>
      <c r="AJ103" s="178"/>
      <c r="AK103" s="178"/>
      <c r="AL103" s="122"/>
      <c r="AM103" s="122"/>
      <c r="AN103" s="122"/>
      <c r="AO103" s="117"/>
      <c r="AZ103" s="117"/>
      <c r="BA103" s="948" t="s">
        <v>110</v>
      </c>
      <c r="BB103" s="950"/>
      <c r="BC103" s="178"/>
      <c r="BD103" s="178"/>
      <c r="BE103" s="178"/>
      <c r="BF103" s="178"/>
      <c r="BG103" s="178"/>
      <c r="BH103" s="122"/>
      <c r="BI103" s="122"/>
      <c r="BJ103" s="122"/>
      <c r="BK103" s="117"/>
      <c r="BT103" s="117"/>
      <c r="BU103" s="176" t="s">
        <v>109</v>
      </c>
      <c r="BV103" s="181">
        <v>400</v>
      </c>
      <c r="BW103" s="178"/>
      <c r="BX103" s="178"/>
      <c r="BY103" s="178"/>
      <c r="BZ103" s="178"/>
      <c r="CA103" s="178"/>
      <c r="CB103" s="122"/>
      <c r="CC103" s="122"/>
      <c r="CD103" s="122"/>
      <c r="CE103" s="117"/>
    </row>
    <row r="104" spans="30:83" ht="12" customHeight="1" thickBot="1" x14ac:dyDescent="0.25">
      <c r="AD104" s="117"/>
      <c r="AE104" s="140" t="s">
        <v>570</v>
      </c>
      <c r="AF104" s="180">
        <v>340</v>
      </c>
      <c r="AG104" s="178"/>
      <c r="AH104" s="178"/>
      <c r="AI104" s="178"/>
      <c r="AJ104" s="178"/>
      <c r="AK104" s="178"/>
      <c r="AL104" s="122"/>
      <c r="AM104" s="122"/>
      <c r="AN104" s="122"/>
      <c r="AO104" s="117"/>
      <c r="AZ104" s="117"/>
      <c r="BC104" s="32"/>
      <c r="BD104" s="122"/>
      <c r="BE104" s="122"/>
      <c r="BF104" s="122"/>
      <c r="BG104" s="122"/>
      <c r="BH104" s="122"/>
      <c r="BI104" s="122"/>
      <c r="BJ104" s="122"/>
      <c r="BK104" s="117"/>
      <c r="BT104" s="117"/>
      <c r="BU104" s="948" t="s">
        <v>110</v>
      </c>
      <c r="BV104" s="950"/>
      <c r="BW104" s="178"/>
      <c r="BX104" s="178"/>
      <c r="BY104" s="178"/>
      <c r="BZ104" s="178"/>
      <c r="CA104" s="178"/>
      <c r="CB104" s="122"/>
      <c r="CC104" s="122"/>
      <c r="CD104" s="122"/>
      <c r="CE104" s="117"/>
    </row>
    <row r="105" spans="30:83" ht="12" customHeight="1" thickBot="1" x14ac:dyDescent="0.25">
      <c r="AD105" s="117"/>
      <c r="AE105" s="140" t="s">
        <v>571</v>
      </c>
      <c r="AF105" s="180">
        <v>350</v>
      </c>
      <c r="AG105" s="178"/>
      <c r="AH105" s="178"/>
      <c r="AI105" s="178"/>
      <c r="AJ105" s="178"/>
      <c r="AK105" s="178"/>
      <c r="AL105" s="122"/>
      <c r="AM105" s="122"/>
      <c r="AN105" s="122"/>
      <c r="AO105" s="117"/>
      <c r="BA105" s="987" t="s">
        <v>102</v>
      </c>
      <c r="BB105" s="988"/>
      <c r="BC105" s="988"/>
      <c r="BD105" s="988"/>
      <c r="BE105" s="988"/>
      <c r="BF105" s="988"/>
      <c r="BG105" s="989"/>
      <c r="BH105" s="122"/>
      <c r="BT105" s="117"/>
      <c r="BW105" s="32"/>
      <c r="BX105" s="122"/>
      <c r="BY105" s="122"/>
      <c r="BZ105" s="122"/>
      <c r="CA105" s="122"/>
      <c r="CB105" s="122"/>
      <c r="CC105" s="122"/>
      <c r="CD105" s="122"/>
      <c r="CE105" s="117"/>
    </row>
    <row r="106" spans="30:83" ht="12" customHeight="1" thickBot="1" x14ac:dyDescent="0.25">
      <c r="AD106" s="117"/>
      <c r="AE106" s="142" t="s">
        <v>575</v>
      </c>
      <c r="AF106" s="180">
        <v>400</v>
      </c>
      <c r="AG106" s="178"/>
      <c r="AH106" s="178"/>
      <c r="AI106" s="178"/>
      <c r="AJ106" s="178"/>
      <c r="AK106" s="178"/>
      <c r="AL106" s="122"/>
      <c r="AM106" s="122"/>
      <c r="AN106" s="122"/>
      <c r="AO106" s="117"/>
      <c r="BA106" s="134" t="s">
        <v>103</v>
      </c>
      <c r="BB106" s="135" t="s">
        <v>325</v>
      </c>
      <c r="BC106" s="135" t="s">
        <v>326</v>
      </c>
      <c r="BD106" s="135" t="s">
        <v>327</v>
      </c>
      <c r="BE106" s="135" t="s">
        <v>328</v>
      </c>
      <c r="BF106" s="135" t="s">
        <v>487</v>
      </c>
      <c r="BG106" s="136" t="s">
        <v>179</v>
      </c>
      <c r="BU106" s="987" t="s">
        <v>102</v>
      </c>
      <c r="BV106" s="988"/>
      <c r="BW106" s="988"/>
      <c r="BX106" s="988"/>
      <c r="BY106" s="988"/>
      <c r="BZ106" s="989"/>
      <c r="CA106" s="122"/>
    </row>
    <row r="107" spans="30:83" ht="12" customHeight="1" thickBot="1" x14ac:dyDescent="0.25">
      <c r="AD107" s="117"/>
      <c r="AE107" s="142"/>
      <c r="AF107" s="181">
        <v>400</v>
      </c>
      <c r="AG107" s="178"/>
      <c r="AH107" s="178"/>
      <c r="AI107" s="178"/>
      <c r="AJ107" s="178"/>
      <c r="AK107" s="178"/>
      <c r="AL107" s="122"/>
      <c r="AM107" s="122"/>
      <c r="AN107" s="122"/>
      <c r="AO107" s="117"/>
      <c r="BA107" s="137" t="s">
        <v>458</v>
      </c>
      <c r="BB107" s="138">
        <v>120</v>
      </c>
      <c r="BC107" s="138">
        <v>150</v>
      </c>
      <c r="BD107" s="138">
        <v>300</v>
      </c>
      <c r="BE107" s="138">
        <v>210</v>
      </c>
      <c r="BF107" s="138">
        <v>400</v>
      </c>
      <c r="BG107" s="139">
        <f t="shared" ref="BG107:BG112" si="24">SUM(BB107:BF107)</f>
        <v>1180</v>
      </c>
      <c r="BU107" s="134" t="s">
        <v>103</v>
      </c>
      <c r="BV107" s="135" t="s">
        <v>325</v>
      </c>
      <c r="BW107" s="135" t="s">
        <v>326</v>
      </c>
      <c r="BX107" s="135" t="s">
        <v>327</v>
      </c>
      <c r="BY107" s="135" t="s">
        <v>328</v>
      </c>
      <c r="BZ107" s="136" t="s">
        <v>179</v>
      </c>
    </row>
    <row r="108" spans="30:83" ht="12" customHeight="1" thickBot="1" x14ac:dyDescent="0.25">
      <c r="AD108" s="117"/>
      <c r="AE108" s="948" t="s">
        <v>110</v>
      </c>
      <c r="AF108" s="950"/>
      <c r="AG108" s="178"/>
      <c r="AH108" s="178"/>
      <c r="AI108" s="178"/>
      <c r="AJ108" s="178"/>
      <c r="AK108" s="178"/>
      <c r="AL108" s="122"/>
      <c r="AM108" s="122"/>
      <c r="AN108" s="122"/>
      <c r="AO108" s="117"/>
      <c r="BA108" s="140" t="s">
        <v>459</v>
      </c>
      <c r="BB108" s="141">
        <v>120</v>
      </c>
      <c r="BC108" s="141">
        <v>233</v>
      </c>
      <c r="BD108" s="141">
        <v>300</v>
      </c>
      <c r="BE108" s="141">
        <v>280</v>
      </c>
      <c r="BF108" s="141">
        <v>400</v>
      </c>
      <c r="BG108" s="139">
        <f t="shared" si="24"/>
        <v>1333</v>
      </c>
      <c r="BU108" s="137" t="s">
        <v>104</v>
      </c>
      <c r="BV108" s="138">
        <v>120</v>
      </c>
      <c r="BW108" s="138">
        <v>190</v>
      </c>
      <c r="BX108" s="138">
        <v>300</v>
      </c>
      <c r="BY108" s="138">
        <v>0</v>
      </c>
      <c r="BZ108" s="139">
        <f t="shared" ref="BZ108:BZ113" si="25">SUM(BV108:BY108)</f>
        <v>610</v>
      </c>
    </row>
    <row r="109" spans="30:83" ht="12" customHeight="1" thickBot="1" x14ac:dyDescent="0.25">
      <c r="AD109" s="117"/>
      <c r="AG109" s="32"/>
      <c r="AH109" s="122"/>
      <c r="AI109" s="122"/>
      <c r="AJ109" s="122"/>
      <c r="AK109" s="122"/>
      <c r="AL109" s="122"/>
      <c r="AM109" s="122"/>
      <c r="AN109" s="122"/>
      <c r="AO109" s="117"/>
      <c r="BA109" s="140" t="s">
        <v>456</v>
      </c>
      <c r="BB109" s="141">
        <v>120</v>
      </c>
      <c r="BC109" s="141">
        <v>350</v>
      </c>
      <c r="BD109" s="141">
        <v>300</v>
      </c>
      <c r="BE109" s="141">
        <v>310</v>
      </c>
      <c r="BF109" s="141">
        <v>400</v>
      </c>
      <c r="BG109" s="139">
        <f t="shared" si="24"/>
        <v>1480</v>
      </c>
      <c r="BU109" s="140" t="s">
        <v>105</v>
      </c>
      <c r="BV109" s="141">
        <v>120</v>
      </c>
      <c r="BW109" s="141">
        <v>250</v>
      </c>
      <c r="BX109" s="141">
        <v>300</v>
      </c>
      <c r="BY109" s="141">
        <v>200</v>
      </c>
      <c r="BZ109" s="139">
        <f t="shared" si="25"/>
        <v>870</v>
      </c>
    </row>
    <row r="110" spans="30:83" ht="12" customHeight="1" thickBot="1" x14ac:dyDescent="0.25">
      <c r="AE110" s="987" t="s">
        <v>102</v>
      </c>
      <c r="AF110" s="988"/>
      <c r="AG110" s="988"/>
      <c r="AH110" s="988"/>
      <c r="AI110" s="988"/>
      <c r="AJ110" s="988"/>
      <c r="AK110" s="988"/>
      <c r="AL110" s="988"/>
      <c r="AM110" s="989"/>
      <c r="BA110" s="140" t="s">
        <v>457</v>
      </c>
      <c r="BB110" s="141">
        <v>120</v>
      </c>
      <c r="BC110" s="141">
        <v>350</v>
      </c>
      <c r="BD110" s="141">
        <v>300</v>
      </c>
      <c r="BE110" s="141">
        <v>310</v>
      </c>
      <c r="BF110" s="141">
        <v>400</v>
      </c>
      <c r="BG110" s="139">
        <f t="shared" si="24"/>
        <v>1480</v>
      </c>
      <c r="BU110" s="140" t="s">
        <v>106</v>
      </c>
      <c r="BV110" s="141">
        <v>120</v>
      </c>
      <c r="BW110" s="141">
        <v>340</v>
      </c>
      <c r="BX110" s="141">
        <v>300</v>
      </c>
      <c r="BY110" s="141">
        <v>400</v>
      </c>
      <c r="BZ110" s="139">
        <f t="shared" si="25"/>
        <v>1160</v>
      </c>
    </row>
    <row r="111" spans="30:83" ht="12" customHeight="1" thickBot="1" x14ac:dyDescent="0.25">
      <c r="AE111" s="328" t="s">
        <v>103</v>
      </c>
      <c r="AF111" s="329" t="s">
        <v>325</v>
      </c>
      <c r="AG111" s="329" t="s">
        <v>326</v>
      </c>
      <c r="AH111" s="329" t="s">
        <v>327</v>
      </c>
      <c r="AI111" s="329" t="s">
        <v>328</v>
      </c>
      <c r="AJ111" s="329" t="s">
        <v>487</v>
      </c>
      <c r="AK111" s="330" t="s">
        <v>618</v>
      </c>
      <c r="AL111" s="331" t="s">
        <v>619</v>
      </c>
      <c r="AM111" s="332" t="s">
        <v>179</v>
      </c>
      <c r="BA111" s="140" t="s">
        <v>108</v>
      </c>
      <c r="BB111" s="141">
        <v>120</v>
      </c>
      <c r="BC111" s="141">
        <v>400</v>
      </c>
      <c r="BD111" s="141">
        <v>300</v>
      </c>
      <c r="BE111" s="141">
        <v>400</v>
      </c>
      <c r="BF111" s="141">
        <v>400</v>
      </c>
      <c r="BG111" s="139">
        <f t="shared" si="24"/>
        <v>1620</v>
      </c>
      <c r="BU111" s="140" t="s">
        <v>107</v>
      </c>
      <c r="BV111" s="141">
        <v>120</v>
      </c>
      <c r="BW111" s="141">
        <v>350</v>
      </c>
      <c r="BX111" s="141">
        <v>300</v>
      </c>
      <c r="BY111" s="141">
        <v>200</v>
      </c>
      <c r="BZ111" s="139">
        <f t="shared" si="25"/>
        <v>970</v>
      </c>
    </row>
    <row r="112" spans="30:83" ht="12" customHeight="1" thickBot="1" x14ac:dyDescent="0.25">
      <c r="AD112" s="308">
        <v>1575</v>
      </c>
      <c r="AE112" s="325" t="s">
        <v>458</v>
      </c>
      <c r="AF112" s="203">
        <v>120</v>
      </c>
      <c r="AG112" s="203">
        <v>300</v>
      </c>
      <c r="AH112" s="203">
        <v>300</v>
      </c>
      <c r="AI112" s="203">
        <v>200</v>
      </c>
      <c r="AJ112" s="326">
        <v>300</v>
      </c>
      <c r="AK112" s="326">
        <v>200</v>
      </c>
      <c r="AL112" s="327">
        <v>160</v>
      </c>
      <c r="AM112" s="334">
        <f>SUM(AF112:AL112)+AD112</f>
        <v>3155</v>
      </c>
      <c r="BA112" s="142" t="s">
        <v>109</v>
      </c>
      <c r="BB112" s="143">
        <v>120</v>
      </c>
      <c r="BC112" s="143">
        <v>400</v>
      </c>
      <c r="BD112" s="143">
        <v>300</v>
      </c>
      <c r="BE112" s="143">
        <v>400</v>
      </c>
      <c r="BF112" s="143">
        <v>400</v>
      </c>
      <c r="BG112" s="144">
        <f t="shared" si="24"/>
        <v>1620</v>
      </c>
      <c r="BU112" s="140" t="s">
        <v>108</v>
      </c>
      <c r="BV112" s="141">
        <v>120</v>
      </c>
      <c r="BW112" s="141">
        <v>400</v>
      </c>
      <c r="BX112" s="141">
        <v>300</v>
      </c>
      <c r="BY112" s="141">
        <v>400</v>
      </c>
      <c r="BZ112" s="139">
        <f t="shared" si="25"/>
        <v>1220</v>
      </c>
    </row>
    <row r="113" spans="26:83" ht="12" customHeight="1" thickBot="1" x14ac:dyDescent="0.25">
      <c r="AD113" s="308">
        <v>2800</v>
      </c>
      <c r="AE113" s="303" t="s">
        <v>569</v>
      </c>
      <c r="AF113" s="141">
        <v>120</v>
      </c>
      <c r="AG113" s="141">
        <v>400</v>
      </c>
      <c r="AH113" s="141">
        <v>300</v>
      </c>
      <c r="AI113" s="141">
        <v>250</v>
      </c>
      <c r="AJ113" s="306">
        <v>500</v>
      </c>
      <c r="AK113" s="306">
        <v>300</v>
      </c>
      <c r="AL113" s="324">
        <v>260</v>
      </c>
      <c r="AM113" s="335">
        <f t="shared" ref="AM113:AM116" si="26">SUM(AF113:AL113)+AD113</f>
        <v>4930</v>
      </c>
      <c r="BA113" s="990" t="s">
        <v>110</v>
      </c>
      <c r="BB113" s="991"/>
      <c r="BC113" s="991"/>
      <c r="BD113" s="991"/>
      <c r="BE113" s="991"/>
      <c r="BF113" s="991"/>
      <c r="BG113" s="992"/>
      <c r="BH113" s="122"/>
      <c r="BU113" s="142" t="s">
        <v>109</v>
      </c>
      <c r="BV113" s="143">
        <v>120</v>
      </c>
      <c r="BW113" s="143">
        <v>400</v>
      </c>
      <c r="BX113" s="143">
        <v>300</v>
      </c>
      <c r="BY113" s="143">
        <v>400</v>
      </c>
      <c r="BZ113" s="144">
        <f t="shared" si="25"/>
        <v>1220</v>
      </c>
    </row>
    <row r="114" spans="26:83" ht="12" customHeight="1" thickBot="1" x14ac:dyDescent="0.25">
      <c r="AD114" s="308">
        <v>4200</v>
      </c>
      <c r="AE114" s="303" t="s">
        <v>570</v>
      </c>
      <c r="AF114" s="141">
        <v>240</v>
      </c>
      <c r="AG114" s="141">
        <v>500</v>
      </c>
      <c r="AH114" s="141">
        <v>300</v>
      </c>
      <c r="AI114" s="141">
        <v>500</v>
      </c>
      <c r="AJ114" s="306">
        <v>500</v>
      </c>
      <c r="AK114" s="306">
        <v>300</v>
      </c>
      <c r="AL114" s="324">
        <v>280</v>
      </c>
      <c r="AM114" s="335">
        <f t="shared" si="26"/>
        <v>6820</v>
      </c>
      <c r="BU114" s="990" t="s">
        <v>110</v>
      </c>
      <c r="BV114" s="991"/>
      <c r="BW114" s="991"/>
      <c r="BX114" s="991"/>
      <c r="BY114" s="991"/>
      <c r="BZ114" s="992"/>
      <c r="CA114" s="122"/>
    </row>
    <row r="115" spans="26:83" ht="12" customHeight="1" x14ac:dyDescent="0.2">
      <c r="AD115" s="308">
        <v>5600</v>
      </c>
      <c r="AE115" s="303" t="s">
        <v>571</v>
      </c>
      <c r="AF115" s="141">
        <v>240</v>
      </c>
      <c r="AG115" s="141">
        <v>600</v>
      </c>
      <c r="AH115" s="141">
        <v>300</v>
      </c>
      <c r="AI115" s="141">
        <v>750</v>
      </c>
      <c r="AJ115" s="306">
        <v>500</v>
      </c>
      <c r="AK115" s="306">
        <v>400</v>
      </c>
      <c r="AL115" s="324">
        <v>330</v>
      </c>
      <c r="AM115" s="335">
        <f t="shared" si="26"/>
        <v>8720</v>
      </c>
    </row>
    <row r="116" spans="26:83" ht="12" customHeight="1" thickBot="1" x14ac:dyDescent="0.25">
      <c r="AD116" s="308">
        <v>8400</v>
      </c>
      <c r="AE116" s="304" t="s">
        <v>575</v>
      </c>
      <c r="AF116" s="143">
        <v>240</v>
      </c>
      <c r="AG116" s="143">
        <v>700</v>
      </c>
      <c r="AH116" s="143">
        <v>400</v>
      </c>
      <c r="AI116" s="143">
        <v>1000</v>
      </c>
      <c r="AJ116" s="307">
        <v>800</v>
      </c>
      <c r="AK116" s="307">
        <v>500</v>
      </c>
      <c r="AL116" s="333">
        <v>490</v>
      </c>
      <c r="AM116" s="336">
        <f t="shared" si="26"/>
        <v>12530</v>
      </c>
      <c r="AZ116" s="1019" t="s">
        <v>330</v>
      </c>
      <c r="BA116" s="1019"/>
      <c r="BB116" s="1019"/>
      <c r="BC116" s="1019"/>
      <c r="BD116" s="1019"/>
    </row>
    <row r="117" spans="26:83" ht="12" customHeight="1" thickBot="1" x14ac:dyDescent="0.25">
      <c r="AE117" s="990" t="s">
        <v>110</v>
      </c>
      <c r="AF117" s="991"/>
      <c r="AG117" s="991"/>
      <c r="AH117" s="991"/>
      <c r="AI117" s="991"/>
      <c r="AJ117" s="991"/>
      <c r="AK117" s="991"/>
      <c r="AL117" s="991"/>
      <c r="AM117" s="992"/>
      <c r="AZ117" s="1004"/>
      <c r="BA117" s="1004"/>
      <c r="BB117" s="1004"/>
      <c r="BC117" s="1004"/>
      <c r="BD117" s="1004"/>
      <c r="BE117" s="122"/>
      <c r="BF117" s="122"/>
      <c r="BG117" s="122"/>
      <c r="BH117" s="122"/>
      <c r="BI117" s="122"/>
      <c r="BJ117" s="122"/>
      <c r="BT117" s="1000" t="s">
        <v>330</v>
      </c>
      <c r="BU117" s="1001"/>
      <c r="BV117" s="1001"/>
      <c r="BW117" s="1001"/>
      <c r="BX117" s="1002"/>
    </row>
    <row r="118" spans="26:83" ht="12" customHeight="1" thickBot="1" x14ac:dyDescent="0.25">
      <c r="AZ118" s="182"/>
      <c r="BA118" s="96"/>
      <c r="BB118" s="473" t="s">
        <v>33</v>
      </c>
      <c r="BC118" s="474"/>
      <c r="BD118" s="475"/>
      <c r="BE118" s="122"/>
      <c r="BF118" s="122"/>
      <c r="BG118" s="122"/>
      <c r="BH118" s="122"/>
      <c r="BI118" s="122"/>
      <c r="BJ118" s="122"/>
      <c r="BK118" s="18"/>
      <c r="BT118" s="1003"/>
      <c r="BU118" s="1004"/>
      <c r="BV118" s="1004"/>
      <c r="BW118" s="1004"/>
      <c r="BX118" s="1005"/>
      <c r="BY118" s="122"/>
      <c r="BZ118" s="122"/>
      <c r="CA118" s="122"/>
      <c r="CB118" s="122"/>
      <c r="CC118" s="122"/>
      <c r="CD118" s="122"/>
    </row>
    <row r="119" spans="26:83" ht="12" customHeight="1" thickBot="1" x14ac:dyDescent="0.25">
      <c r="AZ119" s="183" t="s">
        <v>121</v>
      </c>
      <c r="BA119" s="99"/>
      <c r="BB119" s="100" t="s">
        <v>122</v>
      </c>
      <c r="BC119" s="100" t="s">
        <v>38</v>
      </c>
      <c r="BD119" s="99" t="s">
        <v>123</v>
      </c>
      <c r="BE119" s="122"/>
      <c r="BF119" s="122"/>
      <c r="BG119" s="122"/>
      <c r="BH119" s="122"/>
      <c r="BI119" s="122"/>
      <c r="BJ119" s="122"/>
      <c r="BK119" s="18"/>
      <c r="BT119" s="310"/>
      <c r="BU119" s="96"/>
      <c r="BV119" s="473" t="s">
        <v>33</v>
      </c>
      <c r="BW119" s="474"/>
      <c r="BX119" s="311"/>
      <c r="BY119" s="122"/>
      <c r="BZ119" s="122"/>
      <c r="CA119" s="122"/>
      <c r="CB119" s="122"/>
      <c r="CC119" s="122"/>
      <c r="CD119" s="122"/>
      <c r="CE119" s="18"/>
    </row>
    <row r="120" spans="26:83" ht="12" customHeight="1" thickBot="1" x14ac:dyDescent="0.25">
      <c r="AZ120" s="21" t="s">
        <v>490</v>
      </c>
      <c r="BA120" s="22" t="s">
        <v>332</v>
      </c>
      <c r="BB120" s="106">
        <v>1</v>
      </c>
      <c r="BC120" s="230">
        <f>IF($G$17=0,0,IF(AH125&gt;0,0,IF($G$17&lt;=450,BB138,(IF($G$17&lt;=600,BB139,(IF($G$17&lt;=750,BB140,(IF($G$17&lt;=1000,BB141,(IF($G$17&lt;=1500,BB142,(IF($G$17&gt;1500,BB143)))))))))))))</f>
        <v>0</v>
      </c>
      <c r="BD120" s="104">
        <f>BB120*BC120</f>
        <v>0</v>
      </c>
      <c r="BE120" s="478"/>
      <c r="BF120" s="122"/>
      <c r="BG120" s="122"/>
      <c r="BH120" s="122"/>
      <c r="BI120" s="122"/>
      <c r="BJ120" s="122"/>
      <c r="BK120" s="18"/>
      <c r="BT120" s="312" t="s">
        <v>121</v>
      </c>
      <c r="BU120" s="99"/>
      <c r="BV120" s="100" t="s">
        <v>122</v>
      </c>
      <c r="BW120" s="100" t="s">
        <v>38</v>
      </c>
      <c r="BX120" s="313" t="s">
        <v>123</v>
      </c>
      <c r="BY120" s="122"/>
      <c r="BZ120" s="122"/>
      <c r="CA120" s="122"/>
      <c r="CB120" s="122"/>
      <c r="CC120" s="122"/>
      <c r="CD120" s="122"/>
      <c r="CE120" s="18"/>
    </row>
    <row r="121" spans="26:83" ht="12" customHeight="1" x14ac:dyDescent="0.2">
      <c r="AD121" s="1000" t="s">
        <v>330</v>
      </c>
      <c r="AE121" s="1001"/>
      <c r="AF121" s="1001"/>
      <c r="AG121" s="1001"/>
      <c r="AH121" s="1002"/>
      <c r="AZ121" s="21" t="s">
        <v>488</v>
      </c>
      <c r="BA121" s="22" t="s">
        <v>334</v>
      </c>
      <c r="BB121" s="106">
        <v>1</v>
      </c>
      <c r="BC121" s="230">
        <f>IF($G$17=0,0,IF(AH126&gt;0,0,IF($G$17&lt;=450,BC138,(IF($G$17&lt;=600,BC139,(IF($G$17&lt;=750,BC140,(IF($G$17&lt;=1000,BC141,(IF($G$17&lt;=1500,BC142,(IF($G$17&gt;1500,BC143)))))))))))))</f>
        <v>0</v>
      </c>
      <c r="BD121" s="104">
        <f>BB121*BC121</f>
        <v>0</v>
      </c>
      <c r="BE121" s="478"/>
      <c r="BF121" s="122"/>
      <c r="BG121" s="122"/>
      <c r="BH121" s="122"/>
      <c r="BI121" s="122"/>
      <c r="BJ121" s="122"/>
      <c r="BK121" s="18"/>
      <c r="BT121" s="317" t="s">
        <v>331</v>
      </c>
      <c r="BU121" s="22" t="s">
        <v>332</v>
      </c>
      <c r="BV121" s="106">
        <v>1</v>
      </c>
      <c r="BW121" s="230">
        <f>IF($G$16=0,0,IF($G$16&lt;=400,BV139,(IF($G$16&lt;=550,BV140,(IF($G$16&lt;=700,BV141,(IF($G$16&lt;=1000,BV142,(IF($G$16&lt;=1500,BV143,(IF($G$16&gt;1500,BV144))))))))))))</f>
        <v>1200</v>
      </c>
      <c r="BX121" s="315">
        <f>BV121*BW121</f>
        <v>1200</v>
      </c>
      <c r="BY121" s="478"/>
      <c r="BZ121" s="122"/>
      <c r="CA121" s="122"/>
      <c r="CB121" s="122"/>
      <c r="CC121" s="122"/>
      <c r="CD121" s="122"/>
      <c r="CE121" s="18"/>
    </row>
    <row r="122" spans="26:83" ht="12" customHeight="1" thickBot="1" x14ac:dyDescent="0.25">
      <c r="AD122" s="1003"/>
      <c r="AE122" s="1004"/>
      <c r="AF122" s="1004"/>
      <c r="AG122" s="1004"/>
      <c r="AH122" s="1005"/>
      <c r="AI122" s="122"/>
      <c r="AJ122" s="122"/>
      <c r="AK122" s="122"/>
      <c r="AL122" s="122"/>
      <c r="AM122" s="122"/>
      <c r="AN122" s="122"/>
      <c r="AZ122" s="21" t="s">
        <v>489</v>
      </c>
      <c r="BA122" s="22" t="s">
        <v>336</v>
      </c>
      <c r="BB122" s="106">
        <v>1</v>
      </c>
      <c r="BC122" s="300">
        <f>IF($G$17=0,0,IF(AH127&gt;0,0,IF($G$17&lt;=450,BD138,(IF($G$17&lt;=600,BD139,(IF($G$17&lt;=750,BD140,(IF($G$17&lt;=1000,BD141,(IF($G$17&lt;=1500,BD142,(IF($G$17&gt;1500,BD143)))))))))))))</f>
        <v>0</v>
      </c>
      <c r="BD122" s="112">
        <f>BB122*BC122</f>
        <v>0</v>
      </c>
      <c r="BE122" s="491" t="s">
        <v>41</v>
      </c>
      <c r="BF122" s="122"/>
      <c r="BG122" s="122"/>
      <c r="BH122" s="122"/>
      <c r="BI122" s="122"/>
      <c r="BJ122" s="122"/>
      <c r="BK122" s="18"/>
      <c r="BT122" s="317" t="s">
        <v>333</v>
      </c>
      <c r="BU122" s="22" t="s">
        <v>334</v>
      </c>
      <c r="BV122" s="106">
        <v>1</v>
      </c>
      <c r="BW122" s="230">
        <f>IF($G$16=0,0,IF($G$16&lt;=400,BW139,(IF($G$16&lt;=550,BW140,(IF($G$16&lt;=700,BW141,(IF($G$16&lt;=1000,BW142,(IF($G$16&lt;=1500,BW143,(IF($G$16&gt;1500,BW144))))))))))))</f>
        <v>100</v>
      </c>
      <c r="BX122" s="315">
        <f>BV122*BW122</f>
        <v>100</v>
      </c>
      <c r="BY122" s="478"/>
      <c r="BZ122" s="122"/>
      <c r="CA122" s="122"/>
      <c r="CB122" s="122"/>
      <c r="CC122" s="122"/>
      <c r="CD122" s="122"/>
      <c r="CE122" s="18"/>
    </row>
    <row r="123" spans="26:83" ht="12" customHeight="1" x14ac:dyDescent="0.2">
      <c r="AD123" s="310"/>
      <c r="AE123" s="96"/>
      <c r="AF123" s="473" t="s">
        <v>33</v>
      </c>
      <c r="AG123" s="474"/>
      <c r="AH123" s="311"/>
      <c r="AI123" s="122"/>
      <c r="AJ123" s="122"/>
      <c r="AK123" s="122"/>
      <c r="AL123" s="122"/>
      <c r="AM123" s="122"/>
      <c r="AN123" s="122"/>
      <c r="AO123" s="18"/>
      <c r="AZ123" s="48"/>
      <c r="BA123" s="22"/>
      <c r="BB123" s="80"/>
      <c r="BC123" s="80"/>
      <c r="BD123" s="73"/>
      <c r="BE123" s="122"/>
      <c r="BF123" s="122"/>
      <c r="BG123" s="122"/>
      <c r="BH123" s="122"/>
      <c r="BI123" s="122"/>
      <c r="BJ123" s="122"/>
      <c r="BT123" s="317" t="s">
        <v>335</v>
      </c>
      <c r="BU123" s="22" t="s">
        <v>336</v>
      </c>
      <c r="BV123" s="106">
        <v>1</v>
      </c>
      <c r="BW123" s="300">
        <f>IF($G$16=0,0,IF($G$16&lt;350,0,IF($G$16&lt;=400,BX139,(IF($G$16&lt;=550,BX140,(IF($G$16&lt;=700,BX141,(IF($G$16&lt;=1000,BX142,(IF($G$16&lt;=1500,BX143,(IF($G$16&gt;1500,BX144)))))))))))))</f>
        <v>0</v>
      </c>
      <c r="BX123" s="316">
        <f>BV123*BW123</f>
        <v>0</v>
      </c>
      <c r="BY123" s="491" t="s">
        <v>41</v>
      </c>
      <c r="BZ123" s="122"/>
      <c r="CA123" s="122"/>
      <c r="CB123" s="122"/>
      <c r="CC123" s="122"/>
      <c r="CD123" s="122"/>
      <c r="CE123" s="18"/>
    </row>
    <row r="124" spans="26:83" ht="12" customHeight="1" thickBot="1" x14ac:dyDescent="0.25">
      <c r="AD124" s="312" t="s">
        <v>121</v>
      </c>
      <c r="AE124" s="99"/>
      <c r="AF124" s="100" t="s">
        <v>122</v>
      </c>
      <c r="AG124" s="100" t="s">
        <v>38</v>
      </c>
      <c r="AH124" s="313" t="s">
        <v>123</v>
      </c>
      <c r="AI124" s="122"/>
      <c r="AJ124" s="122"/>
      <c r="AK124" s="122"/>
      <c r="AL124" s="122"/>
      <c r="AM124" s="122"/>
      <c r="AN124" s="122"/>
      <c r="AO124" s="18"/>
      <c r="AZ124" s="44" t="s">
        <v>337</v>
      </c>
      <c r="BA124" s="45"/>
      <c r="BB124" s="184"/>
      <c r="BC124" s="184"/>
      <c r="BD124" s="185">
        <f>SUM(BD120:BD122)</f>
        <v>0</v>
      </c>
      <c r="BE124" s="122"/>
      <c r="BF124" s="122"/>
      <c r="BG124" s="122"/>
      <c r="BH124" s="122"/>
      <c r="BI124" s="122"/>
      <c r="BJ124" s="122"/>
      <c r="BK124" s="18"/>
      <c r="BT124" s="317"/>
      <c r="BU124" s="22"/>
      <c r="BV124" s="80"/>
      <c r="BW124" s="80"/>
      <c r="BX124" s="318"/>
      <c r="BY124" s="122"/>
      <c r="BZ124" s="122"/>
      <c r="CA124" s="122"/>
      <c r="CB124" s="122"/>
      <c r="CC124" s="122"/>
      <c r="CD124" s="122"/>
    </row>
    <row r="125" spans="26:83" ht="12" customHeight="1" thickBot="1" x14ac:dyDescent="0.25">
      <c r="AD125" s="435" t="s">
        <v>620</v>
      </c>
      <c r="AE125" s="436" t="s">
        <v>332</v>
      </c>
      <c r="AF125" s="284">
        <v>1</v>
      </c>
      <c r="AG125" s="230">
        <f>IF($G$18=0,0,IF($G$18&lt;=450,AF143,(IF($G$18&lt;=800,AF144,(IF($G$18&lt;=1200,AF145,(IF($G$18&lt;=1600,AF146,(IF($G$18&gt;1600,AF147))))))))))</f>
        <v>1200</v>
      </c>
      <c r="AH125" s="315">
        <f>AF125*AG125</f>
        <v>1200</v>
      </c>
      <c r="AI125" s="478"/>
      <c r="AJ125" s="122"/>
      <c r="AK125" s="122"/>
      <c r="AL125" s="122"/>
      <c r="AM125" s="122"/>
      <c r="AN125" s="122"/>
      <c r="AO125" s="18"/>
      <c r="AZ125" s="18"/>
      <c r="BA125" s="32"/>
      <c r="BB125" s="32"/>
      <c r="BC125" s="32"/>
      <c r="BD125" s="122"/>
      <c r="BE125" s="122"/>
      <c r="BF125" s="122"/>
      <c r="BG125" s="122"/>
      <c r="BH125" s="122"/>
      <c r="BI125" s="122"/>
      <c r="BJ125" s="122"/>
      <c r="BK125" s="18"/>
      <c r="BT125" s="319" t="s">
        <v>337</v>
      </c>
      <c r="BU125" s="320"/>
      <c r="BV125" s="321"/>
      <c r="BW125" s="321"/>
      <c r="BX125" s="322">
        <f>SUM(BX121:BX123)</f>
        <v>1300</v>
      </c>
      <c r="BY125" s="122"/>
      <c r="BZ125" s="122"/>
      <c r="CA125" s="122"/>
      <c r="CB125" s="122"/>
      <c r="CC125" s="122"/>
      <c r="CD125" s="122"/>
      <c r="CE125" s="18"/>
    </row>
    <row r="126" spans="26:83" ht="12" customHeight="1" thickBot="1" x14ac:dyDescent="0.25">
      <c r="Z126" s="483"/>
      <c r="AA126" s="439" t="s">
        <v>769</v>
      </c>
      <c r="AB126" s="449"/>
      <c r="AD126" s="435" t="s">
        <v>621</v>
      </c>
      <c r="AE126" s="416" t="s">
        <v>334</v>
      </c>
      <c r="AF126" s="187">
        <v>1</v>
      </c>
      <c r="AG126" s="230">
        <f>IF($G$18=0,0,IF($G$18&lt;=450,AG143,(IF($G$18&lt;=800,AG144,(IF($G$18&lt;=1200,AG145,(IF($G$18&lt;=1600,AG146,(IF($G$18&gt;1600,AG147))))))))))</f>
        <v>100</v>
      </c>
      <c r="AH126" s="315">
        <f>AF126*AG126</f>
        <v>100</v>
      </c>
      <c r="AI126" s="478"/>
      <c r="AJ126" s="122"/>
      <c r="AK126" s="122"/>
      <c r="AL126" s="122"/>
      <c r="AM126" s="122"/>
      <c r="AN126" s="122"/>
      <c r="AO126" s="18"/>
      <c r="AZ126" s="18"/>
      <c r="BA126" s="467" t="s">
        <v>102</v>
      </c>
      <c r="BB126" s="469"/>
      <c r="BC126" s="32"/>
      <c r="BD126" s="122"/>
      <c r="BE126" s="122"/>
      <c r="BF126" s="122"/>
      <c r="BG126" s="122"/>
      <c r="BH126" s="122"/>
      <c r="BI126" s="122"/>
      <c r="BJ126" s="122"/>
      <c r="BK126" s="18"/>
      <c r="BT126" s="18"/>
      <c r="BU126" s="32"/>
      <c r="BV126" s="32"/>
      <c r="BW126" s="32"/>
      <c r="BX126" s="122"/>
      <c r="BY126" s="122"/>
      <c r="BZ126" s="122"/>
      <c r="CA126" s="122"/>
      <c r="CB126" s="122"/>
      <c r="CC126" s="122"/>
      <c r="CD126" s="122"/>
      <c r="CE126" s="18"/>
    </row>
    <row r="127" spans="26:83" ht="12" customHeight="1" thickBot="1" x14ac:dyDescent="0.25">
      <c r="Z127" s="484" t="s">
        <v>763</v>
      </c>
      <c r="AA127" s="485" t="s">
        <v>764</v>
      </c>
      <c r="AB127" s="486" t="s">
        <v>765</v>
      </c>
      <c r="AD127" s="435" t="s">
        <v>622</v>
      </c>
      <c r="AE127" s="416" t="s">
        <v>336</v>
      </c>
      <c r="AF127" s="187">
        <v>1</v>
      </c>
      <c r="AG127" s="300">
        <f>IF($G$18=0,0,IF($G$18&lt;=450,AH143,(IF($G$18&lt;=800,AH144,(IF($G$18&lt;=1200,AH145,(IF($G$18&lt;=1600,AH146,(IF($G$18&gt;1600,AH147))))))))))</f>
        <v>200</v>
      </c>
      <c r="AH127" s="316">
        <f>AF127*AG127</f>
        <v>200</v>
      </c>
      <c r="AI127" s="491" t="s">
        <v>41</v>
      </c>
      <c r="AJ127" s="122"/>
      <c r="AK127" s="122"/>
      <c r="AL127" s="122"/>
      <c r="AM127" s="122"/>
      <c r="AN127" s="122"/>
      <c r="AO127" s="18"/>
      <c r="AZ127" s="18"/>
      <c r="BA127" s="173" t="s">
        <v>103</v>
      </c>
      <c r="BB127" s="174">
        <v>1</v>
      </c>
      <c r="BC127" s="32"/>
      <c r="BD127" s="122"/>
      <c r="BE127" s="122"/>
      <c r="BF127" s="122"/>
      <c r="BG127" s="122"/>
      <c r="BH127" s="122"/>
      <c r="BI127" s="122"/>
      <c r="BJ127" s="122"/>
      <c r="BK127" s="18"/>
      <c r="BT127" s="18"/>
      <c r="BU127" s="467" t="s">
        <v>102</v>
      </c>
      <c r="BV127" s="469"/>
      <c r="BW127" s="32"/>
      <c r="BX127" s="122"/>
      <c r="BY127" s="122"/>
      <c r="BZ127" s="122"/>
      <c r="CA127" s="122"/>
      <c r="CB127" s="122"/>
      <c r="CC127" s="122"/>
      <c r="CD127" s="122"/>
      <c r="CE127" s="18"/>
    </row>
    <row r="128" spans="26:83" ht="12" customHeight="1" thickBot="1" x14ac:dyDescent="0.25">
      <c r="Z128" s="487">
        <f>BX125</f>
        <v>1300</v>
      </c>
      <c r="AA128" s="488">
        <f>BD124</f>
        <v>0</v>
      </c>
      <c r="AB128" s="489">
        <f>AH129</f>
        <v>1500</v>
      </c>
      <c r="AD128" s="317"/>
      <c r="AE128" s="49"/>
      <c r="AF128" s="323"/>
      <c r="AG128" s="80"/>
      <c r="AH128" s="318"/>
      <c r="AI128" s="122"/>
      <c r="AJ128" s="122"/>
      <c r="AK128" s="122"/>
      <c r="AL128" s="122"/>
      <c r="AM128" s="122"/>
      <c r="AN128" s="122"/>
      <c r="AZ128" s="117"/>
      <c r="BA128" s="137" t="s">
        <v>458</v>
      </c>
      <c r="BB128" s="177">
        <v>100</v>
      </c>
      <c r="BC128" s="117"/>
      <c r="BD128" s="117"/>
      <c r="BE128" s="117"/>
      <c r="BF128" s="122"/>
      <c r="BG128" s="122"/>
      <c r="BH128" s="122"/>
      <c r="BI128" s="122"/>
      <c r="BJ128" s="122"/>
      <c r="BK128" s="18"/>
      <c r="BT128" s="18"/>
      <c r="BU128" s="173" t="s">
        <v>103</v>
      </c>
      <c r="BV128" s="174">
        <v>1</v>
      </c>
      <c r="BW128" s="32"/>
      <c r="BX128" s="122"/>
      <c r="BY128" s="122"/>
      <c r="BZ128" s="122"/>
      <c r="CA128" s="122"/>
      <c r="CB128" s="122"/>
      <c r="CC128" s="122"/>
      <c r="CD128" s="122"/>
      <c r="CE128" s="18"/>
    </row>
    <row r="129" spans="26:83" ht="12" customHeight="1" thickBot="1" x14ac:dyDescent="0.25">
      <c r="Z129" s="490"/>
      <c r="AA129" s="448">
        <f>SUM(Z128:AB128)</f>
        <v>2800</v>
      </c>
      <c r="AB129" s="449"/>
      <c r="AD129" s="319" t="s">
        <v>337</v>
      </c>
      <c r="AE129" s="320"/>
      <c r="AF129" s="321"/>
      <c r="AG129" s="321"/>
      <c r="AH129" s="322">
        <f>SUM(AH125:AH127)</f>
        <v>1500</v>
      </c>
      <c r="AI129" s="122"/>
      <c r="AJ129" s="122"/>
      <c r="AK129" s="122"/>
      <c r="AL129" s="122"/>
      <c r="AM129" s="122"/>
      <c r="AN129" s="122"/>
      <c r="AO129" s="18"/>
      <c r="AZ129" s="117"/>
      <c r="BA129" s="140" t="s">
        <v>459</v>
      </c>
      <c r="BB129" s="180">
        <v>125</v>
      </c>
      <c r="BC129" s="117"/>
      <c r="BD129" s="117"/>
      <c r="BE129" s="117"/>
      <c r="BF129" s="117"/>
      <c r="BG129" s="117"/>
      <c r="BH129" s="117"/>
      <c r="BI129" s="117"/>
      <c r="BJ129" s="117"/>
      <c r="BK129" s="117"/>
      <c r="BT129" s="117"/>
      <c r="BU129" s="176" t="s">
        <v>104</v>
      </c>
      <c r="BV129" s="177">
        <v>100</v>
      </c>
      <c r="BW129" s="117"/>
      <c r="BX129" s="117"/>
      <c r="BY129" s="117"/>
      <c r="BZ129" s="122"/>
      <c r="CA129" s="122"/>
      <c r="CB129" s="122"/>
      <c r="CC129" s="122"/>
      <c r="CD129" s="122"/>
      <c r="CE129" s="18"/>
    </row>
    <row r="130" spans="26:83" ht="12" customHeight="1" thickBot="1" x14ac:dyDescent="0.25">
      <c r="AD130" s="18"/>
      <c r="AE130" s="32"/>
      <c r="AF130" s="32"/>
      <c r="AG130" s="32"/>
      <c r="AH130" s="122"/>
      <c r="AI130" s="122"/>
      <c r="AJ130" s="122"/>
      <c r="AK130" s="122"/>
      <c r="AL130" s="122"/>
      <c r="AM130" s="122"/>
      <c r="AN130" s="122"/>
      <c r="AO130" s="18"/>
      <c r="AZ130" s="117"/>
      <c r="BA130" s="140" t="s">
        <v>456</v>
      </c>
      <c r="BB130" s="180">
        <v>150</v>
      </c>
      <c r="BC130" s="117"/>
      <c r="BD130" s="117"/>
      <c r="BE130" s="117"/>
      <c r="BF130" s="117"/>
      <c r="BG130" s="117"/>
      <c r="BH130" s="117"/>
      <c r="BI130" s="117"/>
      <c r="BJ130" s="117"/>
      <c r="BK130" s="117"/>
      <c r="BT130" s="117"/>
      <c r="BU130" s="179" t="s">
        <v>105</v>
      </c>
      <c r="BV130" s="180">
        <v>125</v>
      </c>
      <c r="BW130" s="117"/>
      <c r="BX130" s="117"/>
      <c r="BY130" s="117"/>
      <c r="BZ130" s="117"/>
      <c r="CA130" s="117"/>
      <c r="CB130" s="117"/>
      <c r="CC130" s="117"/>
      <c r="CD130" s="117"/>
      <c r="CE130" s="117"/>
    </row>
    <row r="131" spans="26:83" ht="12" customHeight="1" thickBot="1" x14ac:dyDescent="0.25">
      <c r="AD131" s="18"/>
      <c r="AE131" s="945" t="s">
        <v>102</v>
      </c>
      <c r="AF131" s="947"/>
      <c r="AG131" s="32"/>
      <c r="AH131" s="122"/>
      <c r="AI131" s="122"/>
      <c r="AJ131" s="122"/>
      <c r="AK131" s="122"/>
      <c r="AL131" s="122"/>
      <c r="AM131" s="122"/>
      <c r="AN131" s="122"/>
      <c r="AO131" s="18"/>
      <c r="AZ131" s="117"/>
      <c r="BA131" s="140" t="s">
        <v>457</v>
      </c>
      <c r="BB131" s="180">
        <v>150</v>
      </c>
      <c r="BC131" s="117"/>
      <c r="BD131" s="117"/>
      <c r="BE131" s="117"/>
      <c r="BF131" s="117"/>
      <c r="BG131" s="117"/>
      <c r="BH131" s="117"/>
      <c r="BI131" s="117"/>
      <c r="BJ131" s="117"/>
      <c r="BK131" s="117"/>
      <c r="BT131" s="117"/>
      <c r="BU131" s="179" t="s">
        <v>106</v>
      </c>
      <c r="BV131" s="180">
        <v>150</v>
      </c>
      <c r="BW131" s="117"/>
      <c r="BX131" s="117"/>
      <c r="BY131" s="117"/>
      <c r="BZ131" s="117"/>
      <c r="CA131" s="117"/>
      <c r="CB131" s="117"/>
      <c r="CC131" s="117"/>
      <c r="CD131" s="117"/>
      <c r="CE131" s="117"/>
    </row>
    <row r="132" spans="26:83" ht="12" customHeight="1" thickBot="1" x14ac:dyDescent="0.25">
      <c r="AD132" s="18"/>
      <c r="AE132" s="173" t="s">
        <v>103</v>
      </c>
      <c r="AF132" s="174">
        <v>1</v>
      </c>
      <c r="AG132" s="32"/>
      <c r="AH132" s="122"/>
      <c r="AI132" s="122"/>
      <c r="AJ132" s="122"/>
      <c r="AK132" s="122"/>
      <c r="AL132" s="122"/>
      <c r="AM132" s="122"/>
      <c r="AN132" s="122"/>
      <c r="AO132" s="18"/>
      <c r="AZ132" s="117"/>
      <c r="BA132" s="140" t="s">
        <v>108</v>
      </c>
      <c r="BB132" s="180">
        <v>150</v>
      </c>
      <c r="BC132" s="117"/>
      <c r="BD132" s="117"/>
      <c r="BE132" s="117"/>
      <c r="BF132" s="117"/>
      <c r="BG132" s="117"/>
      <c r="BH132" s="117"/>
      <c r="BI132" s="117"/>
      <c r="BJ132" s="117"/>
      <c r="BK132" s="117"/>
      <c r="BT132" s="117"/>
      <c r="BU132" s="179" t="s">
        <v>107</v>
      </c>
      <c r="BV132" s="180">
        <v>150</v>
      </c>
      <c r="BW132" s="117"/>
      <c r="BX132" s="117"/>
      <c r="BY132" s="117"/>
      <c r="BZ132" s="117"/>
      <c r="CA132" s="117"/>
      <c r="CB132" s="117"/>
      <c r="CC132" s="117"/>
      <c r="CD132" s="117"/>
      <c r="CE132" s="117"/>
    </row>
    <row r="133" spans="26:83" ht="12" customHeight="1" thickBot="1" x14ac:dyDescent="0.25">
      <c r="AD133" s="117"/>
      <c r="AE133" s="137" t="s">
        <v>458</v>
      </c>
      <c r="AF133" s="177">
        <v>100</v>
      </c>
      <c r="AG133" s="117"/>
      <c r="AH133" s="117"/>
      <c r="AI133" s="117"/>
      <c r="AJ133" s="122"/>
      <c r="AK133" s="122"/>
      <c r="AL133" s="122"/>
      <c r="AM133" s="122"/>
      <c r="AN133" s="122"/>
      <c r="AO133" s="18"/>
      <c r="AZ133" s="117"/>
      <c r="BA133" s="142" t="s">
        <v>109</v>
      </c>
      <c r="BB133" s="181">
        <v>150</v>
      </c>
      <c r="BC133" s="32"/>
      <c r="BD133" s="122"/>
      <c r="BE133" s="122"/>
      <c r="BF133" s="117"/>
      <c r="BG133" s="117"/>
      <c r="BH133" s="117"/>
      <c r="BI133" s="117"/>
      <c r="BJ133" s="117"/>
      <c r="BK133" s="117"/>
      <c r="BT133" s="117"/>
      <c r="BU133" s="179" t="s">
        <v>108</v>
      </c>
      <c r="BV133" s="180">
        <v>150</v>
      </c>
      <c r="BW133" s="117"/>
      <c r="BX133" s="117"/>
      <c r="BY133" s="117"/>
      <c r="BZ133" s="117"/>
      <c r="CA133" s="117"/>
      <c r="CB133" s="117"/>
      <c r="CC133" s="117"/>
      <c r="CD133" s="117"/>
      <c r="CE133" s="117"/>
    </row>
    <row r="134" spans="26:83" ht="12" customHeight="1" thickBot="1" x14ac:dyDescent="0.25">
      <c r="AD134" s="117"/>
      <c r="AE134" s="140" t="s">
        <v>569</v>
      </c>
      <c r="AF134" s="180">
        <v>125</v>
      </c>
      <c r="AG134" s="117"/>
      <c r="AH134" s="117"/>
      <c r="AI134" s="117"/>
      <c r="AJ134" s="117"/>
      <c r="AK134" s="117"/>
      <c r="AL134" s="117"/>
      <c r="AM134" s="117"/>
      <c r="AN134" s="117"/>
      <c r="AO134" s="117"/>
      <c r="AZ134" s="117"/>
      <c r="BA134" s="186" t="s">
        <v>110</v>
      </c>
      <c r="BB134" s="472"/>
      <c r="BC134" s="32"/>
      <c r="BD134" s="122"/>
      <c r="BE134" s="122"/>
      <c r="BF134" s="122"/>
      <c r="BG134" s="122"/>
      <c r="BH134" s="122"/>
      <c r="BI134" s="122"/>
      <c r="BJ134" s="122"/>
      <c r="BK134" s="117"/>
      <c r="BT134" s="117"/>
      <c r="BU134" s="176" t="s">
        <v>109</v>
      </c>
      <c r="BV134" s="181">
        <v>150</v>
      </c>
      <c r="BW134" s="32"/>
      <c r="BX134" s="122"/>
      <c r="BY134" s="122"/>
      <c r="BZ134" s="117"/>
      <c r="CA134" s="117"/>
      <c r="CB134" s="117"/>
      <c r="CC134" s="117"/>
      <c r="CD134" s="117"/>
      <c r="CE134" s="117"/>
    </row>
    <row r="135" spans="26:83" ht="12" customHeight="1" thickBot="1" x14ac:dyDescent="0.25">
      <c r="AD135" s="117"/>
      <c r="AE135" s="140" t="s">
        <v>570</v>
      </c>
      <c r="AF135" s="180">
        <v>150</v>
      </c>
      <c r="AG135" s="117"/>
      <c r="AH135" s="117"/>
      <c r="AI135" s="117"/>
      <c r="AJ135" s="117"/>
      <c r="AK135" s="117"/>
      <c r="AL135" s="117"/>
      <c r="AM135" s="117"/>
      <c r="AN135" s="117"/>
      <c r="AO135" s="117"/>
      <c r="AZ135" s="117"/>
      <c r="BC135" s="32"/>
      <c r="BD135" s="122"/>
      <c r="BE135" s="122"/>
      <c r="BF135" s="122"/>
      <c r="BG135" s="122"/>
      <c r="BH135" s="122"/>
      <c r="BI135" s="122"/>
      <c r="BJ135" s="122"/>
      <c r="BK135" s="117"/>
      <c r="BT135" s="117"/>
      <c r="BU135" s="186" t="s">
        <v>110</v>
      </c>
      <c r="BV135" s="472"/>
      <c r="BW135" s="32"/>
      <c r="BX135" s="122"/>
      <c r="BY135" s="122"/>
      <c r="BZ135" s="122"/>
      <c r="CA135" s="122"/>
      <c r="CB135" s="122"/>
      <c r="CC135" s="122"/>
      <c r="CD135" s="122"/>
      <c r="CE135" s="117"/>
    </row>
    <row r="136" spans="26:83" ht="12" customHeight="1" thickBot="1" x14ac:dyDescent="0.25">
      <c r="AD136" s="117"/>
      <c r="AE136" s="140" t="s">
        <v>571</v>
      </c>
      <c r="AF136" s="180">
        <v>150</v>
      </c>
      <c r="AG136" s="117"/>
      <c r="AH136" s="117"/>
      <c r="AI136" s="117"/>
      <c r="AJ136" s="117"/>
      <c r="AK136" s="117"/>
      <c r="AL136" s="117"/>
      <c r="AM136" s="117"/>
      <c r="AN136" s="117"/>
      <c r="AO136" s="117"/>
      <c r="BA136" s="945" t="s">
        <v>102</v>
      </c>
      <c r="BB136" s="946"/>
      <c r="BC136" s="946"/>
      <c r="BD136" s="946"/>
      <c r="BE136" s="947"/>
      <c r="BG136" s="122"/>
      <c r="BH136" s="122"/>
      <c r="BI136" s="122"/>
      <c r="BJ136" s="122"/>
      <c r="BK136" s="117"/>
      <c r="BT136" s="117"/>
      <c r="BW136" s="32"/>
      <c r="BX136" s="122"/>
      <c r="BY136" s="122"/>
      <c r="BZ136" s="122"/>
      <c r="CA136" s="122"/>
      <c r="CB136" s="122"/>
      <c r="CC136" s="122"/>
      <c r="CD136" s="122"/>
      <c r="CE136" s="117"/>
    </row>
    <row r="137" spans="26:83" ht="12" customHeight="1" thickBot="1" x14ac:dyDescent="0.25">
      <c r="AD137" s="117"/>
      <c r="AE137" s="142" t="s">
        <v>575</v>
      </c>
      <c r="AF137" s="180">
        <v>150</v>
      </c>
      <c r="AG137" s="117"/>
      <c r="AH137" s="117"/>
      <c r="AI137" s="117"/>
      <c r="AJ137" s="117"/>
      <c r="AK137" s="117"/>
      <c r="AL137" s="117"/>
      <c r="AM137" s="117"/>
      <c r="AN137" s="117"/>
      <c r="AO137" s="117"/>
      <c r="AZ137" s="117"/>
      <c r="BA137" s="134" t="s">
        <v>103</v>
      </c>
      <c r="BB137" s="135" t="s">
        <v>338</v>
      </c>
      <c r="BC137" s="135" t="s">
        <v>339</v>
      </c>
      <c r="BD137" s="135" t="s">
        <v>340</v>
      </c>
      <c r="BE137" s="136" t="s">
        <v>179</v>
      </c>
      <c r="BG137" s="122"/>
      <c r="BH137" s="122"/>
      <c r="BI137" s="122"/>
      <c r="BJ137" s="122"/>
      <c r="BK137" s="117"/>
      <c r="BU137" s="945" t="s">
        <v>102</v>
      </c>
      <c r="BV137" s="946"/>
      <c r="BW137" s="946"/>
      <c r="BX137" s="946"/>
      <c r="BY137" s="947"/>
      <c r="CA137" s="122"/>
      <c r="CB137" s="122"/>
      <c r="CC137" s="122"/>
      <c r="CD137" s="122"/>
      <c r="CE137" s="117"/>
    </row>
    <row r="138" spans="26:83" ht="12" customHeight="1" thickBot="1" x14ac:dyDescent="0.25">
      <c r="AD138" s="117"/>
      <c r="AE138" s="142"/>
      <c r="AF138" s="181">
        <v>150</v>
      </c>
      <c r="AG138" s="32"/>
      <c r="AH138" s="122"/>
      <c r="AI138" s="122"/>
      <c r="AJ138" s="117"/>
      <c r="AK138" s="117"/>
      <c r="AL138" s="117"/>
      <c r="AM138" s="117"/>
      <c r="AN138" s="117"/>
      <c r="AO138" s="117"/>
      <c r="BA138" s="137" t="s">
        <v>458</v>
      </c>
      <c r="BB138" s="138">
        <v>1200</v>
      </c>
      <c r="BC138" s="138">
        <v>100</v>
      </c>
      <c r="BD138" s="138">
        <v>100</v>
      </c>
      <c r="BE138" s="139">
        <f>SUM(BB138:BD138)</f>
        <v>1400</v>
      </c>
      <c r="BT138" s="117"/>
      <c r="BU138" s="134" t="s">
        <v>103</v>
      </c>
      <c r="BV138" s="135" t="s">
        <v>338</v>
      </c>
      <c r="BW138" s="135" t="s">
        <v>339</v>
      </c>
      <c r="BX138" s="135" t="s">
        <v>340</v>
      </c>
      <c r="BY138" s="136" t="s">
        <v>179</v>
      </c>
      <c r="CA138" s="122"/>
      <c r="CB138" s="122"/>
      <c r="CC138" s="122"/>
      <c r="CD138" s="122"/>
      <c r="CE138" s="117"/>
    </row>
    <row r="139" spans="26:83" ht="12" customHeight="1" thickBot="1" x14ac:dyDescent="0.25">
      <c r="AD139" s="117"/>
      <c r="AE139" s="948" t="s">
        <v>110</v>
      </c>
      <c r="AF139" s="950"/>
      <c r="AG139" s="32"/>
      <c r="AH139" s="122"/>
      <c r="AI139" s="122"/>
      <c r="AJ139" s="122"/>
      <c r="AK139" s="122"/>
      <c r="AL139" s="122"/>
      <c r="AM139" s="122"/>
      <c r="AN139" s="122"/>
      <c r="AO139" s="117"/>
      <c r="BA139" s="140" t="s">
        <v>459</v>
      </c>
      <c r="BB139" s="141">
        <v>1200</v>
      </c>
      <c r="BC139" s="141">
        <v>100</v>
      </c>
      <c r="BD139" s="141">
        <v>150</v>
      </c>
      <c r="BE139" s="139">
        <f t="shared" ref="BE139:BE143" si="27">SUM(BB139:BD139)</f>
        <v>1450</v>
      </c>
      <c r="BU139" s="137" t="s">
        <v>104</v>
      </c>
      <c r="BV139" s="138">
        <v>1200</v>
      </c>
      <c r="BW139" s="138">
        <v>100</v>
      </c>
      <c r="BX139" s="138">
        <v>100</v>
      </c>
      <c r="BY139" s="139">
        <f>SUM(BV139:BX139)</f>
        <v>1400</v>
      </c>
    </row>
    <row r="140" spans="26:83" ht="12" customHeight="1" thickBot="1" x14ac:dyDescent="0.25">
      <c r="AD140" s="117"/>
      <c r="AG140" s="32"/>
      <c r="AH140" s="122"/>
      <c r="AI140" s="122"/>
      <c r="AJ140" s="122"/>
      <c r="AK140" s="122"/>
      <c r="AL140" s="122"/>
      <c r="AM140" s="122"/>
      <c r="AN140" s="122"/>
      <c r="AO140" s="117"/>
      <c r="BA140" s="140" t="s">
        <v>456</v>
      </c>
      <c r="BB140" s="141">
        <v>2400</v>
      </c>
      <c r="BC140" s="141">
        <v>100</v>
      </c>
      <c r="BD140" s="141">
        <v>200</v>
      </c>
      <c r="BE140" s="139">
        <f t="shared" si="27"/>
        <v>2700</v>
      </c>
      <c r="BU140" s="140" t="s">
        <v>105</v>
      </c>
      <c r="BV140" s="141">
        <v>1200</v>
      </c>
      <c r="BW140" s="141">
        <v>100</v>
      </c>
      <c r="BX140" s="141">
        <v>125</v>
      </c>
      <c r="BY140" s="139">
        <f t="shared" ref="BY140:BY144" si="28">SUM(BV140:BX140)</f>
        <v>1425</v>
      </c>
    </row>
    <row r="141" spans="26:83" ht="12" customHeight="1" thickBot="1" x14ac:dyDescent="0.25">
      <c r="AE141" s="945" t="s">
        <v>102</v>
      </c>
      <c r="AF141" s="946"/>
      <c r="AG141" s="946"/>
      <c r="AH141" s="946"/>
      <c r="AI141" s="947"/>
      <c r="AK141" s="122"/>
      <c r="AL141" s="122"/>
      <c r="AM141" s="122"/>
      <c r="AN141" s="122"/>
      <c r="AO141" s="117"/>
      <c r="BA141" s="140" t="s">
        <v>457</v>
      </c>
      <c r="BB141" s="141">
        <v>2400</v>
      </c>
      <c r="BC141" s="141">
        <v>200</v>
      </c>
      <c r="BD141" s="141">
        <v>300</v>
      </c>
      <c r="BE141" s="139">
        <f t="shared" si="27"/>
        <v>2900</v>
      </c>
      <c r="BU141" s="140" t="s">
        <v>106</v>
      </c>
      <c r="BV141" s="141">
        <v>2400</v>
      </c>
      <c r="BW141" s="141">
        <v>100</v>
      </c>
      <c r="BX141" s="141">
        <v>150</v>
      </c>
      <c r="BY141" s="139">
        <f t="shared" si="28"/>
        <v>2650</v>
      </c>
    </row>
    <row r="142" spans="26:83" ht="12" customHeight="1" thickBot="1" x14ac:dyDescent="0.25">
      <c r="AD142" s="117"/>
      <c r="AE142" s="134" t="s">
        <v>103</v>
      </c>
      <c r="AF142" s="135" t="s">
        <v>338</v>
      </c>
      <c r="AG142" s="135" t="s">
        <v>339</v>
      </c>
      <c r="AH142" s="135" t="s">
        <v>340</v>
      </c>
      <c r="AI142" s="136" t="s">
        <v>179</v>
      </c>
      <c r="AK142" s="122"/>
      <c r="AL142" s="122"/>
      <c r="AM142" s="122"/>
      <c r="AN142" s="122"/>
      <c r="AO142" s="117"/>
      <c r="BA142" s="140" t="s">
        <v>108</v>
      </c>
      <c r="BB142" s="141">
        <v>3600</v>
      </c>
      <c r="BC142" s="141">
        <v>200</v>
      </c>
      <c r="BD142" s="141">
        <v>450</v>
      </c>
      <c r="BE142" s="139">
        <f t="shared" si="27"/>
        <v>4250</v>
      </c>
      <c r="BU142" s="140" t="s">
        <v>107</v>
      </c>
      <c r="BV142" s="141">
        <v>2400</v>
      </c>
      <c r="BW142" s="141">
        <v>200</v>
      </c>
      <c r="BX142" s="141">
        <v>300</v>
      </c>
      <c r="BY142" s="139">
        <f t="shared" si="28"/>
        <v>2900</v>
      </c>
    </row>
    <row r="143" spans="26:83" ht="12" customHeight="1" thickBot="1" x14ac:dyDescent="0.25">
      <c r="AE143" s="137" t="s">
        <v>458</v>
      </c>
      <c r="AF143" s="138">
        <v>1200</v>
      </c>
      <c r="AG143" s="138">
        <v>100</v>
      </c>
      <c r="AH143" s="138">
        <v>200</v>
      </c>
      <c r="AI143" s="139">
        <f>SUM(AF143:AH143)</f>
        <v>1500</v>
      </c>
      <c r="BA143" s="142" t="s">
        <v>109</v>
      </c>
      <c r="BB143" s="143">
        <v>4800</v>
      </c>
      <c r="BC143" s="143">
        <v>200</v>
      </c>
      <c r="BD143" s="143">
        <v>600</v>
      </c>
      <c r="BE143" s="139">
        <f t="shared" si="27"/>
        <v>5600</v>
      </c>
      <c r="BU143" s="140" t="s">
        <v>108</v>
      </c>
      <c r="BV143" s="141">
        <v>3600</v>
      </c>
      <c r="BW143" s="141">
        <v>200</v>
      </c>
      <c r="BX143" s="141">
        <v>450</v>
      </c>
      <c r="BY143" s="139">
        <f t="shared" si="28"/>
        <v>4250</v>
      </c>
    </row>
    <row r="144" spans="26:83" ht="12" customHeight="1" thickBot="1" x14ac:dyDescent="0.25">
      <c r="AE144" s="140" t="s">
        <v>569</v>
      </c>
      <c r="AF144" s="141">
        <v>2400</v>
      </c>
      <c r="AG144" s="141">
        <v>200</v>
      </c>
      <c r="AH144" s="141">
        <v>300</v>
      </c>
      <c r="AI144" s="139">
        <f t="shared" ref="AI144:AI147" si="29">SUM(AF144:AH144)</f>
        <v>2900</v>
      </c>
      <c r="BA144" s="948" t="s">
        <v>110</v>
      </c>
      <c r="BB144" s="949"/>
      <c r="BC144" s="949"/>
      <c r="BD144" s="949"/>
      <c r="BE144" s="950"/>
      <c r="BU144" s="142" t="s">
        <v>109</v>
      </c>
      <c r="BV144" s="143">
        <v>4800</v>
      </c>
      <c r="BW144" s="143">
        <v>200</v>
      </c>
      <c r="BX144" s="143">
        <v>600</v>
      </c>
      <c r="BY144" s="139">
        <f t="shared" si="28"/>
        <v>5600</v>
      </c>
    </row>
    <row r="145" spans="30:77" ht="12" customHeight="1" thickBot="1" x14ac:dyDescent="0.25">
      <c r="AE145" s="140" t="s">
        <v>570</v>
      </c>
      <c r="AF145" s="141">
        <v>2800</v>
      </c>
      <c r="AG145" s="141">
        <v>400</v>
      </c>
      <c r="AH145" s="141">
        <v>300</v>
      </c>
      <c r="AI145" s="139">
        <f t="shared" si="29"/>
        <v>3500</v>
      </c>
      <c r="BU145" s="948" t="s">
        <v>110</v>
      </c>
      <c r="BV145" s="949"/>
      <c r="BW145" s="949"/>
      <c r="BX145" s="949"/>
      <c r="BY145" s="950"/>
    </row>
    <row r="146" spans="30:77" ht="12" customHeight="1" thickBot="1" x14ac:dyDescent="0.25">
      <c r="AE146" s="140" t="s">
        <v>571</v>
      </c>
      <c r="AF146" s="141">
        <v>4200</v>
      </c>
      <c r="AG146" s="141">
        <v>400</v>
      </c>
      <c r="AH146" s="141">
        <v>900</v>
      </c>
      <c r="AI146" s="139">
        <f t="shared" si="29"/>
        <v>5500</v>
      </c>
    </row>
    <row r="147" spans="30:77" ht="12" customHeight="1" thickBot="1" x14ac:dyDescent="0.25">
      <c r="AE147" s="142" t="s">
        <v>575</v>
      </c>
      <c r="AF147" s="141">
        <v>7000</v>
      </c>
      <c r="AG147" s="141">
        <v>900</v>
      </c>
      <c r="AH147" s="141">
        <v>1200</v>
      </c>
      <c r="AI147" s="139">
        <f t="shared" si="29"/>
        <v>9100</v>
      </c>
      <c r="AZ147" s="1000" t="s">
        <v>341</v>
      </c>
      <c r="BA147" s="1001"/>
      <c r="BB147" s="1001"/>
      <c r="BC147" s="1001"/>
      <c r="BD147" s="1002"/>
    </row>
    <row r="148" spans="30:77" ht="12" customHeight="1" thickBot="1" x14ac:dyDescent="0.25">
      <c r="AE148" s="948" t="s">
        <v>110</v>
      </c>
      <c r="AF148" s="949"/>
      <c r="AG148" s="949"/>
      <c r="AH148" s="949"/>
      <c r="AI148" s="950"/>
      <c r="AZ148" s="1003"/>
      <c r="BA148" s="1004"/>
      <c r="BB148" s="1004"/>
      <c r="BC148" s="1004"/>
      <c r="BD148" s="1005"/>
      <c r="BT148" s="1000" t="s">
        <v>341</v>
      </c>
      <c r="BU148" s="1001"/>
      <c r="BV148" s="1001"/>
      <c r="BW148" s="1001"/>
      <c r="BX148" s="1002"/>
    </row>
    <row r="149" spans="30:77" ht="12" customHeight="1" thickBot="1" x14ac:dyDescent="0.25">
      <c r="AZ149" s="310"/>
      <c r="BA149" s="96"/>
      <c r="BB149" s="473" t="s">
        <v>33</v>
      </c>
      <c r="BC149" s="474"/>
      <c r="BD149" s="311"/>
      <c r="BT149" s="1003"/>
      <c r="BU149" s="1004"/>
      <c r="BV149" s="1004"/>
      <c r="BW149" s="1004"/>
      <c r="BX149" s="1005"/>
    </row>
    <row r="150" spans="30:77" ht="12" customHeight="1" thickBot="1" x14ac:dyDescent="0.25">
      <c r="AZ150" s="312" t="s">
        <v>121</v>
      </c>
      <c r="BA150" s="99"/>
      <c r="BB150" s="100" t="s">
        <v>122</v>
      </c>
      <c r="BC150" s="100" t="s">
        <v>38</v>
      </c>
      <c r="BD150" s="313" t="s">
        <v>123</v>
      </c>
      <c r="BT150" s="310"/>
      <c r="BU150" s="96"/>
      <c r="BV150" s="473" t="s">
        <v>33</v>
      </c>
      <c r="BW150" s="474"/>
      <c r="BX150" s="311"/>
    </row>
    <row r="151" spans="30:77" ht="12" customHeight="1" thickBot="1" x14ac:dyDescent="0.25">
      <c r="AD151" s="1000" t="s">
        <v>341</v>
      </c>
      <c r="AE151" s="1001"/>
      <c r="AF151" s="1001"/>
      <c r="AG151" s="1001"/>
      <c r="AH151" s="1002"/>
      <c r="AZ151" s="314" t="s">
        <v>491</v>
      </c>
      <c r="BA151" s="22" t="s">
        <v>830</v>
      </c>
      <c r="BB151" s="284">
        <v>1</v>
      </c>
      <c r="BC151" s="230">
        <f>IF($G$17=0,0,IF(AH155&gt;0,0,IF($G$17&lt;=450,BB159,(IF($G$17&lt;=600,BB160,(IF($G$17&lt;=750,BB161,(IF($G$17&lt;=1000,BB162,(IF($G$17&lt;=1500,BB163,(IF($G$17&gt;1500,BB164)))))))))))))</f>
        <v>0</v>
      </c>
      <c r="BD151" s="315">
        <f>BB151*BC151</f>
        <v>0</v>
      </c>
      <c r="BE151" s="4"/>
      <c r="BT151" s="312" t="s">
        <v>121</v>
      </c>
      <c r="BU151" s="99"/>
      <c r="BV151" s="100" t="s">
        <v>122</v>
      </c>
      <c r="BW151" s="100" t="s">
        <v>38</v>
      </c>
      <c r="BX151" s="313" t="s">
        <v>123</v>
      </c>
    </row>
    <row r="152" spans="30:77" ht="12" customHeight="1" thickBot="1" x14ac:dyDescent="0.25">
      <c r="AD152" s="1003"/>
      <c r="AE152" s="1004"/>
      <c r="AF152" s="1019"/>
      <c r="AG152" s="1019"/>
      <c r="AH152" s="1020"/>
      <c r="AZ152" s="314" t="s">
        <v>492</v>
      </c>
      <c r="BA152" s="22" t="s">
        <v>494</v>
      </c>
      <c r="BB152" s="146">
        <v>1</v>
      </c>
      <c r="BC152" s="479">
        <f>IF($G$17=0,0,IF($G$17&lt;0,0,IF($G$17&lt;=450,BC159,(IF($G$17&lt;=600,BC160,(IF($G$17&lt;=750,BC161,(IF($G$17&lt;=1000,BC162,(IF($G$17&lt;=1500,BC163,(IF($G$17&gt;1500,BC164)))))))))))))</f>
        <v>0</v>
      </c>
      <c r="BD152" s="315">
        <f>BB152*BC152</f>
        <v>0</v>
      </c>
      <c r="BE152" s="4"/>
      <c r="BT152" s="317" t="s">
        <v>342</v>
      </c>
      <c r="BU152" s="22" t="s">
        <v>343</v>
      </c>
      <c r="BV152" s="167">
        <v>1</v>
      </c>
      <c r="BW152" s="479">
        <f>IF($G$16=0,0,IF($G$16&lt;=400,BV159,(IF($G$16&lt;=550,BV160,(IF($G$16&lt;=700,BV161,(IF($G$16&lt;=1000,BV162,(IF($G$16&lt;=1500,BV163,(IF($G$16&gt;1500,BV164))))))))))))</f>
        <v>1200</v>
      </c>
      <c r="BX152" s="315">
        <f>BV152*BW152</f>
        <v>1200</v>
      </c>
      <c r="BY152" s="4"/>
    </row>
    <row r="153" spans="30:77" ht="12" customHeight="1" x14ac:dyDescent="0.2">
      <c r="AD153" s="310"/>
      <c r="AE153" s="337"/>
      <c r="AF153" s="338" t="s">
        <v>33</v>
      </c>
      <c r="AG153" s="339"/>
      <c r="AH153" s="340"/>
      <c r="AZ153" s="314" t="s">
        <v>493</v>
      </c>
      <c r="BA153" s="22" t="s">
        <v>495</v>
      </c>
      <c r="BB153" s="187">
        <v>1</v>
      </c>
      <c r="BC153" s="493">
        <f>IF($G$17=0,0,IF($G$17&lt;=450,BD159,(IF($G$17&lt;=600,BD160,(IF($G$17&lt;=750,BD161,(IF($G$17&lt;=1000,BD162,(IF($G$17&lt;=1500,BD163,(IF($G$17&gt;1500,BD164))))))))))))</f>
        <v>200</v>
      </c>
      <c r="BD153" s="316">
        <f>BB153*BC153</f>
        <v>200</v>
      </c>
      <c r="BE153" s="4"/>
      <c r="BT153" s="317"/>
      <c r="BU153" s="22"/>
      <c r="BV153" s="187"/>
      <c r="BW153" s="492"/>
      <c r="BX153" s="316"/>
      <c r="BY153" s="4"/>
    </row>
    <row r="154" spans="30:77" ht="12" customHeight="1" thickBot="1" x14ac:dyDescent="0.25">
      <c r="AD154" s="312" t="s">
        <v>121</v>
      </c>
      <c r="AE154" s="100"/>
      <c r="AF154" s="312" t="s">
        <v>122</v>
      </c>
      <c r="AG154" s="100" t="s">
        <v>38</v>
      </c>
      <c r="AH154" s="313" t="s">
        <v>123</v>
      </c>
      <c r="AZ154" s="317"/>
      <c r="BA154" s="22"/>
      <c r="BB154" s="80"/>
      <c r="BC154" s="80"/>
      <c r="BD154" s="318"/>
      <c r="BT154" s="317"/>
      <c r="BU154" s="22"/>
      <c r="BV154" s="80"/>
      <c r="BW154" s="80"/>
      <c r="BX154" s="318"/>
    </row>
    <row r="155" spans="30:77" ht="12" customHeight="1" thickBot="1" x14ac:dyDescent="0.25">
      <c r="AD155" s="435" t="s">
        <v>623</v>
      </c>
      <c r="AE155" s="416" t="s">
        <v>624</v>
      </c>
      <c r="AF155" s="341">
        <v>1</v>
      </c>
      <c r="AG155" s="230">
        <f>IF($G$18=0,0,IF($G$18&lt;=450,AF170,(IF($G$18&lt;=800,AF171,(IF($G$18&lt;=1200,AF172,(IF($G$18&lt;=1600,AF173,(IF($G$18&gt;1600,AF174))))))))))</f>
        <v>1800</v>
      </c>
      <c r="AH155" s="315">
        <f>AF155*AG155</f>
        <v>1800</v>
      </c>
      <c r="AI155" s="4"/>
      <c r="AZ155" s="319" t="s">
        <v>346</v>
      </c>
      <c r="BA155" s="320"/>
      <c r="BB155" s="321"/>
      <c r="BC155" s="321"/>
      <c r="BD155" s="322">
        <f>SUM(BD151:BD153)</f>
        <v>200</v>
      </c>
      <c r="BT155" s="319" t="s">
        <v>346</v>
      </c>
      <c r="BU155" s="320"/>
      <c r="BV155" s="321"/>
      <c r="BW155" s="321"/>
      <c r="BX155" s="322">
        <f>SUM(BX152:BX153)</f>
        <v>1200</v>
      </c>
    </row>
    <row r="156" spans="30:77" ht="12" customHeight="1" thickBot="1" x14ac:dyDescent="0.25">
      <c r="AD156" s="435" t="s">
        <v>625</v>
      </c>
      <c r="AE156" s="416" t="s">
        <v>626</v>
      </c>
      <c r="AF156" s="346">
        <v>1</v>
      </c>
      <c r="AG156" s="230">
        <f>IF($G$18=0,0,IF($G$18&lt;350,325,IF($G$18&lt;=450,AG170,(IF($G$18&lt;=800,AG171,(IF($G$18&lt;=1200,AG172,(IF($G$18&lt;=1600,AG173,(IF($G$18&gt;1600,AG174)))))))))))</f>
        <v>325</v>
      </c>
      <c r="AH156" s="315">
        <f>AF156*AG156</f>
        <v>325</v>
      </c>
      <c r="AI156" s="4"/>
    </row>
    <row r="157" spans="30:77" ht="12" customHeight="1" thickBot="1" x14ac:dyDescent="0.25">
      <c r="AD157" s="435" t="s">
        <v>627</v>
      </c>
      <c r="AE157" s="416" t="s">
        <v>628</v>
      </c>
      <c r="AF157" s="346">
        <v>1</v>
      </c>
      <c r="AG157" s="230">
        <f>IF($G$18=0,0,IF($G$18&lt;350,0,IF($G$18&lt;=450,AH170,(IF($G$18&lt;=800,AH171,(IF($G$18&lt;=1200,AH172,(IF($G$18&lt;=1600,AH173,(IF($G$18&gt;1600,AH174)))))))))))</f>
        <v>0</v>
      </c>
      <c r="AH157" s="315">
        <f t="shared" ref="AH157:AH164" si="30">AF157*AG157</f>
        <v>0</v>
      </c>
      <c r="AI157" s="4"/>
      <c r="BA157" s="945" t="s">
        <v>102</v>
      </c>
      <c r="BB157" s="946"/>
      <c r="BC157" s="946"/>
      <c r="BD157" s="946"/>
      <c r="BE157" s="947"/>
      <c r="BU157" s="945" t="s">
        <v>102</v>
      </c>
      <c r="BV157" s="946"/>
      <c r="BW157" s="946"/>
      <c r="BX157" s="947"/>
    </row>
    <row r="158" spans="30:77" ht="12" customHeight="1" thickBot="1" x14ac:dyDescent="0.25">
      <c r="AD158" s="435" t="s">
        <v>629</v>
      </c>
      <c r="AE158" s="416" t="s">
        <v>630</v>
      </c>
      <c r="AF158" s="346">
        <v>1</v>
      </c>
      <c r="AG158" s="230">
        <f>IF($G$18=0,0,IF($G$18&lt;350,0,IF($G$18&lt;=450,AI170,(IF($G$18&lt;=800,AI171,(IF($G$18&lt;=1200,AI172,(IF($G$18&lt;=1600,AI173,(IF($G$18&gt;1600,AI174)))))))))))</f>
        <v>0</v>
      </c>
      <c r="AH158" s="315">
        <f t="shared" si="30"/>
        <v>0</v>
      </c>
      <c r="AI158" s="4"/>
      <c r="BA158" s="134" t="s">
        <v>103</v>
      </c>
      <c r="BB158" s="135" t="s">
        <v>496</v>
      </c>
      <c r="BC158" s="135" t="s">
        <v>497</v>
      </c>
      <c r="BD158" s="135" t="s">
        <v>498</v>
      </c>
      <c r="BE158" s="136" t="s">
        <v>179</v>
      </c>
      <c r="BU158" s="134" t="s">
        <v>103</v>
      </c>
      <c r="BV158" s="135" t="s">
        <v>496</v>
      </c>
      <c r="BW158" s="135"/>
      <c r="BX158" s="136" t="s">
        <v>179</v>
      </c>
    </row>
    <row r="159" spans="30:77" ht="12" customHeight="1" x14ac:dyDescent="0.2">
      <c r="AD159" s="435" t="s">
        <v>631</v>
      </c>
      <c r="AE159" s="416" t="s">
        <v>632</v>
      </c>
      <c r="AF159" s="346">
        <v>1</v>
      </c>
      <c r="AG159" s="230">
        <f>IF($G$18=0,0,IF($G$18&lt;=450,AJ170,(IF($G$18&lt;=800,AJ171,(IF($G$18&lt;=1200,AJ172,(IF($G$18&lt;=1600,AJ173,(IF($G$18&gt;1600,AJ174))))))))))</f>
        <v>150</v>
      </c>
      <c r="AH159" s="315">
        <f t="shared" si="30"/>
        <v>150</v>
      </c>
      <c r="AI159" s="4"/>
      <c r="BA159" s="137" t="s">
        <v>458</v>
      </c>
      <c r="BB159" s="138">
        <v>1400</v>
      </c>
      <c r="BC159" s="138">
        <v>0</v>
      </c>
      <c r="BD159" s="138">
        <v>200</v>
      </c>
      <c r="BE159" s="139">
        <f>SUM(BB159:BD159)</f>
        <v>1600</v>
      </c>
      <c r="BU159" s="137" t="s">
        <v>104</v>
      </c>
      <c r="BV159" s="138">
        <v>1200</v>
      </c>
      <c r="BW159" s="138"/>
      <c r="BX159" s="139">
        <f>SUM(BV159:BW159)</f>
        <v>1200</v>
      </c>
    </row>
    <row r="160" spans="30:77" ht="12" customHeight="1" x14ac:dyDescent="0.2">
      <c r="AD160" s="435" t="s">
        <v>633</v>
      </c>
      <c r="AE160" s="416" t="s">
        <v>494</v>
      </c>
      <c r="AF160" s="346">
        <v>1</v>
      </c>
      <c r="AG160" s="230">
        <f>IF($G$18=0,0,IF($G$18&lt;350,0,IF($G$18&lt;=450,AK170,(IF($G$18&lt;=800,AK171,(IF($G$18&lt;=1200,AK172,(IF($G$18&lt;=1600,AK173,(IF($G$18&gt;1600,AK174)))))))))))</f>
        <v>0</v>
      </c>
      <c r="AH160" s="315">
        <f t="shared" si="30"/>
        <v>0</v>
      </c>
      <c r="AI160" s="4"/>
      <c r="BA160" s="140" t="s">
        <v>459</v>
      </c>
      <c r="BB160" s="141">
        <v>1500</v>
      </c>
      <c r="BC160" s="141">
        <v>1200</v>
      </c>
      <c r="BD160" s="141">
        <v>200</v>
      </c>
      <c r="BE160" s="139">
        <f t="shared" ref="BE160:BE164" si="31">SUM(BB160:BD160)</f>
        <v>2900</v>
      </c>
      <c r="BU160" s="140" t="s">
        <v>105</v>
      </c>
      <c r="BV160" s="141">
        <v>1200</v>
      </c>
      <c r="BW160" s="141"/>
      <c r="BX160" s="139">
        <f t="shared" ref="BX160:BX164" si="32">SUM(BV160:BW160)</f>
        <v>1200</v>
      </c>
    </row>
    <row r="161" spans="26:76" ht="12" customHeight="1" x14ac:dyDescent="0.2">
      <c r="AD161" s="435" t="s">
        <v>634</v>
      </c>
      <c r="AE161" s="416" t="s">
        <v>635</v>
      </c>
      <c r="AF161" s="346">
        <v>1</v>
      </c>
      <c r="AG161" s="230">
        <f>IF($G$18=0,0,IF($G$18&lt;350,0,IF($G$18&lt;=450,AL170,(IF($G$18&lt;=800,AL171,(IF($G$18&lt;=1200,AL172,(IF($G$18&lt;=1600,AL173,(IF($G$18&gt;1600,AL174)))))))))))</f>
        <v>0</v>
      </c>
      <c r="AH161" s="315">
        <f t="shared" si="30"/>
        <v>0</v>
      </c>
      <c r="AI161" s="4"/>
      <c r="BA161" s="140" t="s">
        <v>456</v>
      </c>
      <c r="BB161" s="141">
        <v>1600</v>
      </c>
      <c r="BC161" s="141">
        <v>1200</v>
      </c>
      <c r="BD161" s="141">
        <v>200</v>
      </c>
      <c r="BE161" s="139">
        <f t="shared" si="31"/>
        <v>3000</v>
      </c>
      <c r="BU161" s="140" t="s">
        <v>106</v>
      </c>
      <c r="BV161" s="141">
        <v>1200</v>
      </c>
      <c r="BW161" s="141"/>
      <c r="BX161" s="139">
        <f t="shared" si="32"/>
        <v>1200</v>
      </c>
    </row>
    <row r="162" spans="26:76" ht="12" customHeight="1" x14ac:dyDescent="0.2">
      <c r="AD162" s="435" t="s">
        <v>636</v>
      </c>
      <c r="AE162" s="416" t="s">
        <v>637</v>
      </c>
      <c r="AF162" s="346">
        <v>1</v>
      </c>
      <c r="AG162" s="479">
        <f>IF($G$18=0,0,IF($G$18&lt;350,0,IF($G$18&lt;=450,AM170,(IF($G$18&lt;=800,AM171,(IF($G$18&lt;=1200,AM172,(IF($G$18&lt;=1600,AM173,(IF($G$18&gt;1600,AM174)))))))))))</f>
        <v>0</v>
      </c>
      <c r="AH162" s="315">
        <f t="shared" si="30"/>
        <v>0</v>
      </c>
      <c r="AI162" s="4"/>
      <c r="BA162" s="140" t="s">
        <v>457</v>
      </c>
      <c r="BB162" s="141">
        <v>2800</v>
      </c>
      <c r="BC162" s="141">
        <v>1200</v>
      </c>
      <c r="BD162" s="141">
        <v>400</v>
      </c>
      <c r="BE162" s="139">
        <f t="shared" si="31"/>
        <v>4400</v>
      </c>
      <c r="BU162" s="140" t="s">
        <v>107</v>
      </c>
      <c r="BV162" s="141">
        <v>1200</v>
      </c>
      <c r="BW162" s="141"/>
      <c r="BX162" s="139">
        <f t="shared" si="32"/>
        <v>1200</v>
      </c>
    </row>
    <row r="163" spans="26:76" ht="12" customHeight="1" x14ac:dyDescent="0.2">
      <c r="Z163" s="483"/>
      <c r="AA163" s="439" t="s">
        <v>770</v>
      </c>
      <c r="AB163" s="449"/>
      <c r="AD163" s="435" t="s">
        <v>638</v>
      </c>
      <c r="AE163" s="416" t="s">
        <v>639</v>
      </c>
      <c r="AF163" s="346">
        <v>1</v>
      </c>
      <c r="AG163" s="230">
        <f>IF($G$18=0,0,IF($G$18&lt;=450,AN170,(IF($G$18&lt;=800,AN171,(IF($G$18&lt;=1200,AN172,(IF($G$18&lt;=1600,AN173,(IF($G$18&gt;1600,AN174))))))))))</f>
        <v>200</v>
      </c>
      <c r="AH163" s="315">
        <f t="shared" si="30"/>
        <v>200</v>
      </c>
      <c r="AI163" s="4"/>
      <c r="BA163" s="140" t="s">
        <v>108</v>
      </c>
      <c r="BB163" s="141">
        <v>3000</v>
      </c>
      <c r="BC163" s="141">
        <v>2400</v>
      </c>
      <c r="BD163" s="141">
        <v>400</v>
      </c>
      <c r="BE163" s="139">
        <f t="shared" si="31"/>
        <v>5800</v>
      </c>
      <c r="BU163" s="140" t="s">
        <v>108</v>
      </c>
      <c r="BV163" s="141">
        <v>2400</v>
      </c>
      <c r="BW163" s="141"/>
      <c r="BX163" s="139">
        <f t="shared" si="32"/>
        <v>2400</v>
      </c>
    </row>
    <row r="164" spans="26:76" ht="12" customHeight="1" thickBot="1" x14ac:dyDescent="0.25">
      <c r="Z164" s="484" t="s">
        <v>763</v>
      </c>
      <c r="AA164" s="485" t="s">
        <v>764</v>
      </c>
      <c r="AB164" s="486" t="s">
        <v>765</v>
      </c>
      <c r="AD164" s="435" t="s">
        <v>640</v>
      </c>
      <c r="AE164" s="416" t="s">
        <v>641</v>
      </c>
      <c r="AF164" s="348">
        <v>1</v>
      </c>
      <c r="AG164" s="480">
        <f>IF($G$18=0,0,IF($G$18&lt;=450,AO170,(IF($G$18&lt;=800,AO171,(IF($G$18&lt;=1200,AO172,(IF($G$18&lt;=1600,AO173,(IF($G$18&gt;1600,AO174))))))))))</f>
        <v>80</v>
      </c>
      <c r="AH164" s="349">
        <f t="shared" si="30"/>
        <v>80</v>
      </c>
      <c r="AI164" s="4"/>
      <c r="BA164" s="142" t="s">
        <v>109</v>
      </c>
      <c r="BB164" s="143">
        <v>3000</v>
      </c>
      <c r="BC164" s="143">
        <v>2400</v>
      </c>
      <c r="BD164" s="143">
        <v>400</v>
      </c>
      <c r="BE164" s="139">
        <f t="shared" si="31"/>
        <v>5800</v>
      </c>
      <c r="BU164" s="142" t="s">
        <v>109</v>
      </c>
      <c r="BV164" s="143">
        <v>3600</v>
      </c>
      <c r="BW164" s="143"/>
      <c r="BX164" s="139">
        <f t="shared" si="32"/>
        <v>3600</v>
      </c>
    </row>
    <row r="165" spans="26:76" ht="12" customHeight="1" thickBot="1" x14ac:dyDescent="0.25">
      <c r="Z165" s="487">
        <f>BX155</f>
        <v>1200</v>
      </c>
      <c r="AA165" s="488">
        <f>BD155</f>
        <v>200</v>
      </c>
      <c r="AB165" s="489">
        <f>AH166</f>
        <v>2555</v>
      </c>
      <c r="AD165" s="342"/>
      <c r="AE165" s="12"/>
      <c r="AF165" s="342"/>
      <c r="AG165" s="12"/>
      <c r="AH165" s="343"/>
      <c r="BA165" s="948" t="s">
        <v>110</v>
      </c>
      <c r="BB165" s="949"/>
      <c r="BC165" s="949"/>
      <c r="BD165" s="949"/>
      <c r="BE165" s="950"/>
      <c r="BU165" s="948" t="s">
        <v>110</v>
      </c>
      <c r="BV165" s="949"/>
      <c r="BW165" s="949"/>
      <c r="BX165" s="950"/>
    </row>
    <row r="166" spans="26:76" ht="12" customHeight="1" thickBot="1" x14ac:dyDescent="0.25">
      <c r="Z166" s="490"/>
      <c r="AA166" s="448">
        <f>SUM(Z165:AB165)</f>
        <v>3955</v>
      </c>
      <c r="AB166" s="449"/>
      <c r="AD166" s="319" t="s">
        <v>346</v>
      </c>
      <c r="AE166" s="347"/>
      <c r="AF166" s="345"/>
      <c r="AG166" s="321"/>
      <c r="AH166" s="322">
        <f>SUM(AH155:AH164)</f>
        <v>2555</v>
      </c>
    </row>
    <row r="167" spans="26:76" ht="12" customHeight="1" thickBot="1" x14ac:dyDescent="0.25"/>
    <row r="168" spans="26:76" ht="12" customHeight="1" thickBot="1" x14ac:dyDescent="0.25">
      <c r="AE168" s="987" t="s">
        <v>102</v>
      </c>
      <c r="AF168" s="988"/>
      <c r="AG168" s="988"/>
      <c r="AH168" s="988"/>
      <c r="AI168" s="988"/>
      <c r="AJ168" s="988"/>
      <c r="AK168" s="988"/>
      <c r="AL168" s="988"/>
      <c r="AM168" s="988"/>
      <c r="AN168" s="988"/>
      <c r="AO168" s="988"/>
      <c r="AP168" s="989"/>
    </row>
    <row r="169" spans="26:76" ht="12" customHeight="1" thickBot="1" x14ac:dyDescent="0.25">
      <c r="AE169" s="134" t="s">
        <v>103</v>
      </c>
      <c r="AF169" s="135" t="s">
        <v>496</v>
      </c>
      <c r="AG169" s="135" t="s">
        <v>497</v>
      </c>
      <c r="AH169" s="135" t="s">
        <v>498</v>
      </c>
      <c r="AI169" s="135" t="s">
        <v>642</v>
      </c>
      <c r="AJ169" s="135" t="s">
        <v>643</v>
      </c>
      <c r="AK169" s="135" t="s">
        <v>644</v>
      </c>
      <c r="AL169" s="135" t="s">
        <v>645</v>
      </c>
      <c r="AM169" s="135" t="s">
        <v>646</v>
      </c>
      <c r="AN169" s="135" t="s">
        <v>647</v>
      </c>
      <c r="AO169" s="293" t="s">
        <v>648</v>
      </c>
      <c r="AP169" s="350" t="s">
        <v>179</v>
      </c>
    </row>
    <row r="170" spans="26:76" ht="12" customHeight="1" x14ac:dyDescent="0.2">
      <c r="AE170" s="137" t="s">
        <v>458</v>
      </c>
      <c r="AF170" s="138">
        <v>1800</v>
      </c>
      <c r="AG170" s="138">
        <v>400</v>
      </c>
      <c r="AH170" s="138">
        <v>200</v>
      </c>
      <c r="AI170" s="138">
        <v>120</v>
      </c>
      <c r="AJ170" s="138">
        <v>150</v>
      </c>
      <c r="AK170" s="138">
        <v>1200</v>
      </c>
      <c r="AL170" s="138">
        <v>200</v>
      </c>
      <c r="AM170" s="138">
        <v>120</v>
      </c>
      <c r="AN170" s="138">
        <v>200</v>
      </c>
      <c r="AO170" s="305">
        <v>80</v>
      </c>
      <c r="AP170" s="351">
        <f>SUM(AF170:AO170)</f>
        <v>4470</v>
      </c>
    </row>
    <row r="171" spans="26:76" ht="12" customHeight="1" x14ac:dyDescent="0.2">
      <c r="AE171" s="140" t="s">
        <v>569</v>
      </c>
      <c r="AF171" s="141">
        <v>2000</v>
      </c>
      <c r="AG171" s="141">
        <v>500</v>
      </c>
      <c r="AH171" s="141">
        <v>250</v>
      </c>
      <c r="AI171" s="141">
        <v>120</v>
      </c>
      <c r="AJ171" s="141">
        <v>200</v>
      </c>
      <c r="AK171" s="141">
        <v>1200</v>
      </c>
      <c r="AL171" s="141">
        <v>300</v>
      </c>
      <c r="AM171" s="141">
        <v>120</v>
      </c>
      <c r="AN171" s="141">
        <v>300</v>
      </c>
      <c r="AO171" s="306">
        <v>80</v>
      </c>
      <c r="AP171" s="351">
        <f t="shared" ref="AP171:AP174" si="33">SUM(AF171:AO171)</f>
        <v>5070</v>
      </c>
    </row>
    <row r="172" spans="26:76" ht="12" customHeight="1" x14ac:dyDescent="0.2">
      <c r="AE172" s="140" t="s">
        <v>570</v>
      </c>
      <c r="AF172" s="141">
        <v>2500</v>
      </c>
      <c r="AG172" s="141">
        <v>600</v>
      </c>
      <c r="AH172" s="141">
        <v>250</v>
      </c>
      <c r="AI172" s="141">
        <v>120</v>
      </c>
      <c r="AJ172" s="141">
        <v>300</v>
      </c>
      <c r="AK172" s="141">
        <v>1200</v>
      </c>
      <c r="AL172" s="141">
        <v>300</v>
      </c>
      <c r="AM172" s="141">
        <v>120</v>
      </c>
      <c r="AN172" s="141">
        <v>300</v>
      </c>
      <c r="AO172" s="306">
        <v>320</v>
      </c>
      <c r="AP172" s="351">
        <f t="shared" si="33"/>
        <v>6010</v>
      </c>
    </row>
    <row r="173" spans="26:76" ht="12" customHeight="1" x14ac:dyDescent="0.2">
      <c r="AE173" s="140" t="s">
        <v>571</v>
      </c>
      <c r="AF173" s="141">
        <v>3000</v>
      </c>
      <c r="AG173" s="141">
        <v>700</v>
      </c>
      <c r="AH173" s="141">
        <v>350</v>
      </c>
      <c r="AI173" s="141">
        <v>120</v>
      </c>
      <c r="AJ173" s="141">
        <v>300</v>
      </c>
      <c r="AK173" s="141">
        <v>1500</v>
      </c>
      <c r="AL173" s="141">
        <v>300</v>
      </c>
      <c r="AM173" s="141">
        <v>120</v>
      </c>
      <c r="AN173" s="141">
        <v>300</v>
      </c>
      <c r="AO173" s="306">
        <v>400</v>
      </c>
      <c r="AP173" s="351">
        <f t="shared" si="33"/>
        <v>7090</v>
      </c>
    </row>
    <row r="174" spans="26:76" ht="12" customHeight="1" thickBot="1" x14ac:dyDescent="0.25">
      <c r="AE174" s="142" t="s">
        <v>575</v>
      </c>
      <c r="AF174" s="143">
        <v>3000</v>
      </c>
      <c r="AG174" s="143">
        <v>700</v>
      </c>
      <c r="AH174" s="143">
        <v>350</v>
      </c>
      <c r="AI174" s="143">
        <v>240</v>
      </c>
      <c r="AJ174" s="143">
        <v>400</v>
      </c>
      <c r="AK174" s="143">
        <v>3000</v>
      </c>
      <c r="AL174" s="143">
        <v>400</v>
      </c>
      <c r="AM174" s="143">
        <v>240</v>
      </c>
      <c r="AN174" s="143">
        <v>300</v>
      </c>
      <c r="AO174" s="307">
        <v>640</v>
      </c>
      <c r="AP174" s="351">
        <f t="shared" si="33"/>
        <v>9270</v>
      </c>
    </row>
    <row r="175" spans="26:76" ht="12" customHeight="1" thickBot="1" x14ac:dyDescent="0.25">
      <c r="AE175" s="990" t="s">
        <v>110</v>
      </c>
      <c r="AF175" s="991"/>
      <c r="AG175" s="991"/>
      <c r="AH175" s="991"/>
      <c r="AI175" s="991"/>
      <c r="AJ175" s="991"/>
      <c r="AK175" s="991"/>
      <c r="AL175" s="991"/>
      <c r="AM175" s="991"/>
      <c r="AN175" s="991"/>
      <c r="AO175" s="991"/>
      <c r="AP175" s="992"/>
    </row>
    <row r="176" spans="26:76" ht="12" customHeight="1" x14ac:dyDescent="0.2"/>
    <row r="177" spans="30:47" ht="12" customHeight="1" thickBot="1" x14ac:dyDescent="0.25"/>
    <row r="178" spans="30:47" ht="12" customHeight="1" x14ac:dyDescent="0.2">
      <c r="AD178" s="977" t="s">
        <v>808</v>
      </c>
      <c r="AE178" s="978"/>
      <c r="AF178" s="978"/>
      <c r="AG178" s="978"/>
      <c r="AH178" s="979"/>
    </row>
    <row r="179" spans="30:47" ht="12" customHeight="1" thickBot="1" x14ac:dyDescent="0.25">
      <c r="AD179" s="980"/>
      <c r="AE179" s="981"/>
      <c r="AF179" s="981"/>
      <c r="AG179" s="981"/>
      <c r="AH179" s="982"/>
    </row>
    <row r="180" spans="30:47" ht="12" customHeight="1" x14ac:dyDescent="0.2">
      <c r="AD180" s="310"/>
      <c r="AE180" s="96"/>
      <c r="AF180" s="473" t="s">
        <v>33</v>
      </c>
      <c r="AG180" s="474"/>
      <c r="AH180" s="311"/>
      <c r="AI180" s="2"/>
      <c r="AJ180" s="2"/>
      <c r="AK180" s="2"/>
      <c r="AL180" s="2"/>
      <c r="AM180" s="2"/>
      <c r="AN180" s="2"/>
      <c r="AO180" s="2"/>
      <c r="AP180" s="2"/>
      <c r="AQ180" s="2"/>
      <c r="AR180" s="2"/>
      <c r="AS180" s="2"/>
      <c r="AT180" s="2"/>
      <c r="AU180" s="2"/>
    </row>
    <row r="181" spans="30:47" ht="12" customHeight="1" thickBot="1" x14ac:dyDescent="0.25">
      <c r="AD181" s="312" t="s">
        <v>121</v>
      </c>
      <c r="AE181" s="99"/>
      <c r="AF181" s="100" t="s">
        <v>122</v>
      </c>
      <c r="AG181" s="100" t="s">
        <v>38</v>
      </c>
      <c r="AH181" s="313" t="s">
        <v>123</v>
      </c>
      <c r="AI181" s="2"/>
      <c r="AJ181" s="2"/>
      <c r="AK181" s="2"/>
      <c r="AL181" s="2"/>
      <c r="AM181" s="2"/>
      <c r="AN181" s="2"/>
      <c r="AO181" s="18"/>
      <c r="AP181" s="2"/>
      <c r="AQ181" s="2"/>
      <c r="AR181" s="2"/>
      <c r="AS181" s="2"/>
      <c r="AT181" s="2"/>
      <c r="AU181" s="2"/>
    </row>
    <row r="182" spans="30:47" ht="12" customHeight="1" x14ac:dyDescent="0.2">
      <c r="AD182" s="435" t="s">
        <v>809</v>
      </c>
      <c r="AE182" s="648" t="s">
        <v>125</v>
      </c>
      <c r="AF182" s="106">
        <v>1</v>
      </c>
      <c r="AG182" s="235">
        <f>IF($G$19=0,0,IF($G$19&lt;350,300,IF($G$19&lt;=450,AF204,(IF($G$19&lt;=800,AF205,(IF($G$19&lt;=1200,AF206,(IF($G$19&lt;=1600,AF207,(IF($G$19&gt;1600,AF208)))))))))))</f>
        <v>400</v>
      </c>
      <c r="AH182" s="365">
        <f>AF182*AG182</f>
        <v>400</v>
      </c>
      <c r="AI182" s="3"/>
      <c r="AJ182" s="2"/>
      <c r="AK182" s="2"/>
      <c r="AL182" s="2"/>
      <c r="AM182" s="2"/>
      <c r="AN182" s="2"/>
      <c r="AO182" s="18"/>
      <c r="AP182" s="2"/>
      <c r="AQ182" s="2"/>
      <c r="AR182" s="2"/>
      <c r="AS182" s="2"/>
      <c r="AT182" s="2"/>
      <c r="AU182" s="2"/>
    </row>
    <row r="183" spans="30:47" ht="12" customHeight="1" x14ac:dyDescent="0.2">
      <c r="AD183" s="435" t="s">
        <v>810</v>
      </c>
      <c r="AE183" s="416" t="s">
        <v>588</v>
      </c>
      <c r="AF183" s="146">
        <v>1</v>
      </c>
      <c r="AG183" s="235">
        <f>IF($G$19=0,0,IF($G$19&lt;=450,AG204,(IF($G$19&lt;=800,AG205,(IF($G$19&lt;=1200,AG206,(IF($G$19&lt;=1600,AG207,(IF($G$19&gt;1600,AG208))))))))))</f>
        <v>400</v>
      </c>
      <c r="AH183" s="440">
        <f t="shared" ref="AH183:AH198" si="34">AF183*AG183</f>
        <v>400</v>
      </c>
      <c r="AI183" s="3"/>
      <c r="AJ183" s="2"/>
      <c r="AK183" s="2"/>
      <c r="AL183" s="2"/>
      <c r="AM183" s="2"/>
      <c r="AN183" s="2"/>
      <c r="AO183" s="18"/>
      <c r="AP183" s="2"/>
      <c r="AQ183" s="2"/>
      <c r="AR183" s="2"/>
      <c r="AS183" s="2"/>
      <c r="AT183" s="2"/>
      <c r="AU183" s="2"/>
    </row>
    <row r="184" spans="30:47" ht="12" customHeight="1" x14ac:dyDescent="0.2">
      <c r="AD184" s="435" t="s">
        <v>811</v>
      </c>
      <c r="AE184" s="49" t="s">
        <v>129</v>
      </c>
      <c r="AF184" s="187">
        <v>1</v>
      </c>
      <c r="AG184" s="481">
        <v>150</v>
      </c>
      <c r="AH184" s="440">
        <f t="shared" si="34"/>
        <v>150</v>
      </c>
      <c r="AI184" s="442"/>
      <c r="AJ184" s="2"/>
      <c r="AK184" s="2"/>
      <c r="AL184" s="2"/>
      <c r="AM184" s="2"/>
      <c r="AN184" s="2"/>
      <c r="AO184" s="2"/>
      <c r="AP184" s="2"/>
      <c r="AQ184" s="2"/>
      <c r="AR184" s="2"/>
      <c r="AS184" s="2"/>
      <c r="AT184" s="2"/>
      <c r="AU184" s="2"/>
    </row>
    <row r="185" spans="30:47" ht="12" customHeight="1" x14ac:dyDescent="0.2">
      <c r="AD185" s="435" t="s">
        <v>812</v>
      </c>
      <c r="AE185" s="49" t="s">
        <v>131</v>
      </c>
      <c r="AF185" s="187">
        <v>1</v>
      </c>
      <c r="AG185" s="481">
        <f>IF($G$19=0,0,IF($G$19&lt;=450,AH204,(IF($G$19&lt;=800,AH205,(IF($G$19&lt;=1200,AH206,(IF($G$19&lt;=1600,AH207,(IF($G$19&gt;1600,AH208))))))))))</f>
        <v>0</v>
      </c>
      <c r="AH185" s="440">
        <f t="shared" si="34"/>
        <v>0</v>
      </c>
      <c r="AI185" s="442"/>
      <c r="AJ185" s="2"/>
      <c r="AK185" s="2"/>
      <c r="AL185" s="2"/>
      <c r="AM185" s="2"/>
      <c r="AN185" s="2"/>
      <c r="AO185" s="2"/>
      <c r="AP185" s="2"/>
      <c r="AQ185" s="2"/>
      <c r="AR185" s="2"/>
      <c r="AS185" s="2"/>
      <c r="AT185" s="2"/>
      <c r="AU185" s="2"/>
    </row>
    <row r="186" spans="30:47" ht="12" customHeight="1" x14ac:dyDescent="0.2">
      <c r="AD186" s="435" t="s">
        <v>813</v>
      </c>
      <c r="AE186" s="49" t="s">
        <v>133</v>
      </c>
      <c r="AF186" s="187">
        <v>1</v>
      </c>
      <c r="AG186" s="481">
        <f>IF($G$19=0,0,IF($G$19&lt;=450,AI204,(IF($G$19&lt;=800,AI205,(IF($G$19&lt;=1200,AI206,(IF($G$19&lt;=1600,AI207,(IF($G$19&gt;1600,AI208))))))))))</f>
        <v>250</v>
      </c>
      <c r="AH186" s="440">
        <f t="shared" si="34"/>
        <v>250</v>
      </c>
      <c r="AI186" s="442"/>
      <c r="AJ186" s="2"/>
      <c r="AK186" s="2"/>
      <c r="AL186" s="2"/>
      <c r="AM186" s="2"/>
      <c r="AN186" s="2"/>
      <c r="AO186" s="2"/>
      <c r="AP186" s="2"/>
      <c r="AQ186" s="2"/>
      <c r="AR186" s="2"/>
      <c r="AS186" s="2"/>
      <c r="AT186" s="2"/>
      <c r="AU186" s="2"/>
    </row>
    <row r="187" spans="30:47" ht="12" customHeight="1" x14ac:dyDescent="0.2">
      <c r="AD187" s="435" t="s">
        <v>814</v>
      </c>
      <c r="AE187" s="49" t="s">
        <v>135</v>
      </c>
      <c r="AF187" s="187">
        <v>1</v>
      </c>
      <c r="AG187" s="235">
        <f>IF($G$19=0,0,IF($G$19&lt;=450,AJ204,(IF($G$19&lt;=800,AJ205,(IF($G$19&lt;=1200,AJ206,(IF($G$19&lt;=1600,AJ207,(IF($G$19&gt;1600,AJ208))))))))))</f>
        <v>300</v>
      </c>
      <c r="AH187" s="440">
        <f t="shared" si="34"/>
        <v>300</v>
      </c>
      <c r="AI187" s="442"/>
      <c r="AJ187" s="2"/>
      <c r="AK187" s="2"/>
      <c r="AL187" s="2"/>
      <c r="AM187" s="2"/>
      <c r="AN187" s="2"/>
      <c r="AO187" s="2"/>
      <c r="AP187" s="2"/>
      <c r="AQ187" s="2"/>
      <c r="AR187" s="2"/>
      <c r="AS187" s="2"/>
      <c r="AT187" s="2"/>
      <c r="AU187" s="2"/>
    </row>
    <row r="188" spans="30:47" ht="12" customHeight="1" x14ac:dyDescent="0.2">
      <c r="AD188" s="435" t="s">
        <v>815</v>
      </c>
      <c r="AE188" s="49" t="s">
        <v>137</v>
      </c>
      <c r="AF188" s="187">
        <v>1</v>
      </c>
      <c r="AG188" s="235">
        <f>IF($G$19=0,0,IF($G$19&lt;=450,AK204,(IF($G$19&lt;=800,AK205,(IF($G$19&lt;=1200,AK206,(IF($G$19&lt;=1600,AK207,(IF($G$19&gt;1600,AK208))))))))))</f>
        <v>150</v>
      </c>
      <c r="AH188" s="440">
        <f t="shared" si="34"/>
        <v>150</v>
      </c>
      <c r="AI188" s="442"/>
      <c r="AJ188" s="2"/>
      <c r="AK188" s="2"/>
      <c r="AL188" s="2"/>
      <c r="AM188" s="2"/>
      <c r="AN188" s="2"/>
      <c r="AO188" s="2"/>
      <c r="AP188" s="2"/>
      <c r="AQ188" s="2"/>
      <c r="AR188" s="2"/>
      <c r="AS188" s="2"/>
      <c r="AT188" s="2"/>
      <c r="AU188" s="2"/>
    </row>
    <row r="189" spans="30:47" ht="12" customHeight="1" x14ac:dyDescent="0.2">
      <c r="AD189" s="435" t="s">
        <v>816</v>
      </c>
      <c r="AE189" s="49" t="s">
        <v>139</v>
      </c>
      <c r="AF189" s="187">
        <v>1</v>
      </c>
      <c r="AG189" s="235">
        <f>IF($G$19=0,0,IF($G$19&lt;=450,AL204,(IF($G$19&lt;=800,AL205,(IF($G$19&lt;=1200,AL206,(IF($G$19&lt;=1600,AL207,(IF($G$19&gt;1600,AL208))))))))))</f>
        <v>115</v>
      </c>
      <c r="AH189" s="440">
        <f t="shared" si="34"/>
        <v>115</v>
      </c>
      <c r="AI189" s="442"/>
      <c r="AJ189" s="2"/>
      <c r="AK189" s="2"/>
      <c r="AL189" s="2"/>
      <c r="AM189" s="2"/>
      <c r="AN189" s="2"/>
      <c r="AO189" s="2"/>
      <c r="AP189" s="2"/>
      <c r="AQ189" s="2"/>
      <c r="AR189" s="2"/>
      <c r="AS189" s="2"/>
      <c r="AT189" s="2"/>
      <c r="AU189" s="2"/>
    </row>
    <row r="190" spans="30:47" ht="12" customHeight="1" x14ac:dyDescent="0.2">
      <c r="AD190" s="435" t="s">
        <v>817</v>
      </c>
      <c r="AE190" s="22" t="s">
        <v>141</v>
      </c>
      <c r="AF190" s="106">
        <v>1</v>
      </c>
      <c r="AG190" s="235">
        <f>IF($G$19=0,0,IF($G$19&lt;=450,AM204,(IF($G$19&lt;=800,AM205,(IF($G$19&lt;=1200,AM206,(IF($G$19&lt;=1600,AM207,(IF($G$19&gt;1600,AM208))))))))))</f>
        <v>325</v>
      </c>
      <c r="AH190" s="440">
        <f t="shared" si="34"/>
        <v>325</v>
      </c>
      <c r="AI190" s="442"/>
      <c r="AJ190" s="2"/>
      <c r="AK190" s="2"/>
      <c r="AL190" s="2"/>
      <c r="AM190" s="2"/>
      <c r="AN190" s="2"/>
      <c r="AO190" s="2"/>
      <c r="AP190" s="2"/>
      <c r="AQ190" s="2"/>
      <c r="AR190" s="2"/>
      <c r="AS190" s="2"/>
      <c r="AT190" s="2"/>
      <c r="AU190" s="2"/>
    </row>
    <row r="191" spans="30:47" ht="12" customHeight="1" x14ac:dyDescent="0.2">
      <c r="AD191" s="435" t="s">
        <v>818</v>
      </c>
      <c r="AE191" s="22" t="s">
        <v>143</v>
      </c>
      <c r="AF191" s="106">
        <v>1</v>
      </c>
      <c r="AG191" s="235">
        <f>IF($G$19=0,0,IF($G$19&lt;=450,AN204,(IF($G$19&lt;=800,AN205,(IF($G$19&lt;=1200,AN206,(IF($G$19&lt;=1600,AN207,(IF($G$19&gt;1600,AN208))))))))))</f>
        <v>120</v>
      </c>
      <c r="AH191" s="440">
        <f t="shared" si="34"/>
        <v>120</v>
      </c>
      <c r="AI191" s="442"/>
      <c r="AJ191" s="2"/>
      <c r="AK191" s="2"/>
      <c r="AL191" s="2"/>
      <c r="AM191" s="2"/>
      <c r="AN191" s="2"/>
      <c r="AO191" s="2"/>
      <c r="AP191" s="2"/>
      <c r="AQ191" s="2"/>
      <c r="AS191" s="2"/>
      <c r="AT191" s="2"/>
      <c r="AU191" s="2"/>
    </row>
    <row r="192" spans="30:47" ht="12" customHeight="1" x14ac:dyDescent="0.2">
      <c r="AD192" s="435" t="s">
        <v>819</v>
      </c>
      <c r="AE192" s="22" t="s">
        <v>145</v>
      </c>
      <c r="AF192" s="106">
        <v>1</v>
      </c>
      <c r="AG192" s="481">
        <f>IF($G$19=0,0,IF($G$19&lt;=450,AO204,(IF($G$19&lt;=800,AO205,(IF($G$19&lt;=1200,AO206,(IF($G$19&lt;=1600,AO207,(IF($G$19&gt;1600,AO208))))))))))</f>
        <v>360</v>
      </c>
      <c r="AH192" s="440">
        <f t="shared" si="34"/>
        <v>360</v>
      </c>
      <c r="AI192" s="442"/>
      <c r="AJ192" s="2"/>
      <c r="AK192" s="2"/>
      <c r="AL192" s="2"/>
      <c r="AM192" s="2"/>
      <c r="AN192" s="2"/>
      <c r="AO192" s="2"/>
      <c r="AP192" s="2"/>
      <c r="AQ192" s="2"/>
      <c r="AS192" s="2"/>
      <c r="AT192" s="2"/>
      <c r="AU192" s="2"/>
    </row>
    <row r="193" spans="26:89" ht="12" customHeight="1" x14ac:dyDescent="0.2">
      <c r="AD193" s="435" t="s">
        <v>820</v>
      </c>
      <c r="AE193" s="22" t="s">
        <v>147</v>
      </c>
      <c r="AF193" s="189">
        <v>1</v>
      </c>
      <c r="AG193" s="235">
        <f>IF($G$19=0,0,IF($G$19&lt;=450,AP204,(IF($G$19&lt;=800,AP205,(IF($G$19&lt;=1200,AP206,(IF($G$19&lt;=1600,AP207,(IF($G$19&gt;1600,AP208))))))))))</f>
        <v>100</v>
      </c>
      <c r="AH193" s="441">
        <f t="shared" si="34"/>
        <v>100</v>
      </c>
      <c r="AI193" s="442"/>
      <c r="AJ193" s="2"/>
      <c r="AK193" s="2"/>
      <c r="AL193" s="2"/>
      <c r="AM193" s="2"/>
      <c r="AN193" s="2"/>
      <c r="AO193" s="2"/>
      <c r="AP193" s="2"/>
      <c r="AQ193" s="2"/>
      <c r="AS193" s="2"/>
      <c r="AT193" s="2"/>
      <c r="AU193" s="2"/>
    </row>
    <row r="194" spans="26:89" ht="12" customHeight="1" x14ac:dyDescent="0.2">
      <c r="AD194" s="435" t="s">
        <v>821</v>
      </c>
      <c r="AE194" s="22" t="s">
        <v>589</v>
      </c>
      <c r="AF194" s="191">
        <v>1</v>
      </c>
      <c r="AG194" s="235">
        <f>IF($G$19=0,0,IF($G$19&lt;=450,AQ204,(IF($G$19&lt;=800,AQ205,(IF($G$19&lt;=1200,AQ206,(IF($G$19&lt;=1600,AQ207,(IF($G$19&gt;1600,AQ208))))))))))</f>
        <v>200</v>
      </c>
      <c r="AH194" s="440">
        <f t="shared" si="34"/>
        <v>200</v>
      </c>
      <c r="AI194" s="442"/>
      <c r="AJ194" s="2"/>
      <c r="AK194" s="2"/>
      <c r="AL194" s="2"/>
      <c r="AM194" s="2"/>
      <c r="AN194" s="2"/>
      <c r="AO194" s="2"/>
      <c r="AP194" s="2"/>
      <c r="AQ194" s="2"/>
      <c r="AS194" s="2"/>
      <c r="AT194" s="2"/>
      <c r="AU194" s="2"/>
    </row>
    <row r="195" spans="26:89" ht="12" customHeight="1" x14ac:dyDescent="0.2">
      <c r="AD195" s="435" t="s">
        <v>822</v>
      </c>
      <c r="AE195" s="22" t="s">
        <v>149</v>
      </c>
      <c r="AF195" s="191">
        <v>1</v>
      </c>
      <c r="AG195" s="235">
        <f>IF($G$19=0,0,IF($G$19&lt;=450,AR204,(IF($G$19&lt;=800,AR205,(IF($G$19&lt;=1200,AR206,(IF($G$19&lt;=1600,AR207,(IF($G$19&gt;1600,AR208))))))))))</f>
        <v>300</v>
      </c>
      <c r="AH195" s="440">
        <f t="shared" si="34"/>
        <v>300</v>
      </c>
      <c r="AI195" s="442"/>
      <c r="AJ195" s="2"/>
      <c r="AK195" s="2"/>
      <c r="AL195" s="2"/>
      <c r="AM195" s="2"/>
      <c r="AN195" s="2"/>
      <c r="AO195" s="2"/>
      <c r="AP195" s="2"/>
      <c r="AQ195" s="2"/>
      <c r="AS195" s="2"/>
      <c r="AT195" s="2"/>
      <c r="AU195" s="2"/>
    </row>
    <row r="196" spans="26:89" ht="12" customHeight="1" x14ac:dyDescent="0.2">
      <c r="AD196" s="435" t="s">
        <v>823</v>
      </c>
      <c r="AE196" s="22" t="s">
        <v>151</v>
      </c>
      <c r="AF196" s="191">
        <v>1</v>
      </c>
      <c r="AG196" s="235">
        <f>IF($G$19=0,0,IF($G$19&lt;=450,AS204,(IF($G$19&lt;=800,AS205,(IF($G$19&lt;=1200,AS206,(IF($G$19&lt;=1600,AS207,(IF($G$19&gt;1600,AS208))))))))))</f>
        <v>450</v>
      </c>
      <c r="AH196" s="440">
        <f t="shared" si="34"/>
        <v>450</v>
      </c>
      <c r="AI196" s="442"/>
      <c r="AJ196" s="2"/>
      <c r="AK196" s="2"/>
      <c r="AL196" s="2"/>
      <c r="AM196" s="2"/>
      <c r="AN196" s="2"/>
      <c r="AO196" s="2"/>
      <c r="AP196" s="2"/>
      <c r="AQ196" s="2"/>
      <c r="AR196" s="2"/>
      <c r="AS196" s="2"/>
      <c r="AT196" s="2"/>
      <c r="AU196" s="2"/>
    </row>
    <row r="197" spans="26:89" ht="12" customHeight="1" x14ac:dyDescent="0.2">
      <c r="Z197" s="445"/>
      <c r="AA197" s="439" t="s">
        <v>771</v>
      </c>
      <c r="AB197" s="446"/>
      <c r="AD197" s="435" t="s">
        <v>824</v>
      </c>
      <c r="AE197" s="22" t="s">
        <v>153</v>
      </c>
      <c r="AF197" s="191">
        <v>1</v>
      </c>
      <c r="AG197" s="235">
        <f>IF($G$19=0,0,IF($G$19&lt;=450,AT204,(IF($G$19&lt;=800,AT205,(IF($G$19&lt;=1200,AT206,(IF($G$19&lt;=1600,AT207,(IF($G$19&gt;1600,AT208))))))))))</f>
        <v>240</v>
      </c>
      <c r="AH197" s="316">
        <f t="shared" si="34"/>
        <v>240</v>
      </c>
      <c r="AI197" s="442"/>
      <c r="AJ197" s="2"/>
      <c r="AK197" s="2"/>
      <c r="AL197" s="2"/>
      <c r="AM197" s="2"/>
      <c r="AN197" s="2"/>
      <c r="AO197" s="2"/>
      <c r="AP197" s="2"/>
      <c r="AQ197" s="2"/>
      <c r="AR197" s="2"/>
      <c r="AS197" s="2"/>
      <c r="AT197" s="2"/>
      <c r="AU197" s="2"/>
    </row>
    <row r="198" spans="26:89" ht="12" customHeight="1" x14ac:dyDescent="0.2">
      <c r="Z198" s="450"/>
      <c r="AA198" s="451"/>
      <c r="AB198" s="452"/>
      <c r="AD198" s="435" t="s">
        <v>825</v>
      </c>
      <c r="AE198" s="22" t="s">
        <v>826</v>
      </c>
      <c r="AF198" s="191">
        <v>1</v>
      </c>
      <c r="AG198" s="236">
        <f>IF($G$19=0,0,IF($G$19&lt;=450,AU204,(IF($G$19&lt;=800,AU205,(IF($G$19&lt;=1200,AU206,(IF($G$19&lt;=1600,AU207,(IF($G$19&gt;1600,AU208))))))))))</f>
        <v>400</v>
      </c>
      <c r="AH198" s="316">
        <f t="shared" si="34"/>
        <v>400</v>
      </c>
      <c r="AI198" s="3"/>
      <c r="AJ198" s="2"/>
      <c r="AK198" s="2"/>
      <c r="AL198" s="2"/>
      <c r="AM198" s="2"/>
      <c r="AN198" s="2"/>
      <c r="AO198" s="18"/>
      <c r="AP198" s="2"/>
      <c r="AQ198" s="2"/>
      <c r="AR198" s="2"/>
      <c r="AS198" s="2"/>
      <c r="AT198" s="2"/>
      <c r="AU198" s="2"/>
    </row>
    <row r="199" spans="26:89" ht="12" customHeight="1" x14ac:dyDescent="0.2">
      <c r="Z199" s="453"/>
      <c r="AA199" s="454"/>
      <c r="AB199" s="455"/>
      <c r="AD199" s="317"/>
      <c r="AE199" s="22"/>
      <c r="AF199" s="49"/>
      <c r="AG199" s="49"/>
      <c r="AH199" s="318"/>
      <c r="AI199" s="3"/>
      <c r="AJ199" s="2"/>
      <c r="AK199" s="2"/>
      <c r="AL199" s="2"/>
      <c r="AM199" s="2"/>
      <c r="AN199" s="2"/>
      <c r="AO199" s="18"/>
      <c r="AP199" s="2"/>
      <c r="AQ199" s="2"/>
      <c r="AR199" s="2"/>
      <c r="AS199" s="2"/>
      <c r="AT199" s="2"/>
      <c r="AU199" s="2"/>
    </row>
    <row r="200" spans="26:89" ht="12" customHeight="1" thickBot="1" x14ac:dyDescent="0.25">
      <c r="Z200" s="447"/>
      <c r="AA200" s="448">
        <f>AH200</f>
        <v>4260</v>
      </c>
      <c r="AB200" s="449"/>
      <c r="AD200" s="319" t="s">
        <v>154</v>
      </c>
      <c r="AE200" s="320"/>
      <c r="AF200" s="347"/>
      <c r="AG200" s="347"/>
      <c r="AH200" s="322">
        <f>SUM(AH182:AH198)</f>
        <v>4260</v>
      </c>
      <c r="AI200" s="2"/>
      <c r="AJ200" s="2"/>
      <c r="AK200" s="2"/>
      <c r="AL200" s="2"/>
      <c r="AM200" s="2"/>
      <c r="AN200" s="2"/>
      <c r="AO200" s="2"/>
      <c r="AP200" s="2"/>
      <c r="AQ200" s="2"/>
      <c r="AR200" s="2"/>
      <c r="AS200" s="2"/>
      <c r="AT200" s="2"/>
      <c r="AU200" s="2"/>
      <c r="AV200" s="2"/>
      <c r="AW200" s="2"/>
    </row>
    <row r="201" spans="26:89" ht="12" customHeight="1" thickBot="1" x14ac:dyDescent="0.25">
      <c r="AD201" s="18"/>
      <c r="AE201" s="32"/>
      <c r="AF201" s="32"/>
      <c r="AG201" s="32"/>
      <c r="AH201" s="122"/>
      <c r="AI201" s="2"/>
      <c r="AJ201" s="2"/>
      <c r="AK201" s="2"/>
      <c r="AL201" s="2"/>
      <c r="AM201" s="2"/>
      <c r="AN201" s="2"/>
      <c r="AO201" s="2"/>
      <c r="AP201" s="2"/>
      <c r="AQ201" s="2"/>
      <c r="AR201" s="2"/>
      <c r="AS201" s="2"/>
      <c r="AT201" s="2"/>
      <c r="AU201" s="2"/>
      <c r="AV201" s="2"/>
      <c r="AW201" s="2"/>
      <c r="AZ201" s="2"/>
      <c r="BA201" s="2"/>
      <c r="BB201" s="2"/>
      <c r="BC201" s="2"/>
      <c r="BD201" s="2"/>
      <c r="BE201" s="2"/>
      <c r="BF201" s="2"/>
      <c r="BG201" s="2"/>
      <c r="BH201" s="2"/>
      <c r="BI201" s="2"/>
      <c r="BJ201" s="2"/>
      <c r="BK201" s="2"/>
      <c r="BL201" s="2"/>
      <c r="BM201" s="2"/>
      <c r="BN201" s="2"/>
      <c r="BO201" s="2"/>
      <c r="BP201" s="2"/>
      <c r="BQ201" s="2"/>
      <c r="BT201" s="117"/>
      <c r="CK201" s="2"/>
    </row>
    <row r="202" spans="26:89" ht="12" customHeight="1" thickBot="1" x14ac:dyDescent="0.25">
      <c r="AD202" s="18"/>
      <c r="AE202" s="987" t="s">
        <v>102</v>
      </c>
      <c r="AF202" s="988"/>
      <c r="AG202" s="988"/>
      <c r="AH202" s="988"/>
      <c r="AI202" s="988"/>
      <c r="AJ202" s="988"/>
      <c r="AK202" s="988"/>
      <c r="AL202" s="988"/>
      <c r="AM202" s="988"/>
      <c r="AN202" s="988"/>
      <c r="AO202" s="988"/>
      <c r="AP202" s="988"/>
      <c r="AQ202" s="988"/>
      <c r="AR202" s="988"/>
      <c r="AS202" s="988"/>
      <c r="AT202" s="988"/>
      <c r="AU202" s="988"/>
      <c r="AV202" s="989"/>
      <c r="AW202" s="2"/>
      <c r="AZ202" s="2"/>
      <c r="BA202" s="2"/>
      <c r="BB202" s="2"/>
      <c r="BC202" s="2"/>
      <c r="BD202" s="2"/>
      <c r="BE202" s="2"/>
      <c r="BF202" s="2"/>
      <c r="BG202" s="2"/>
      <c r="BH202" s="2"/>
      <c r="BI202" s="2"/>
      <c r="BJ202" s="2"/>
      <c r="BK202" s="2"/>
      <c r="BL202" s="2"/>
      <c r="BM202" s="2"/>
      <c r="BN202" s="2"/>
      <c r="BO202" s="2"/>
      <c r="BP202" s="2"/>
      <c r="BQ202" s="2"/>
      <c r="BT202" s="2"/>
      <c r="BU202" s="2"/>
      <c r="BV202" s="2"/>
      <c r="BW202" s="2"/>
      <c r="BX202" s="2"/>
      <c r="BY202" s="2"/>
      <c r="BZ202" s="2"/>
      <c r="CA202" s="2"/>
      <c r="CB202" s="2"/>
      <c r="CC202" s="2"/>
      <c r="CD202" s="2"/>
      <c r="CE202" s="2"/>
      <c r="CF202" s="2"/>
      <c r="CG202" s="2"/>
      <c r="CH202" s="2"/>
      <c r="CI202" s="2"/>
      <c r="CJ202" s="2"/>
      <c r="CK202" s="2"/>
    </row>
    <row r="203" spans="26:89" ht="12" customHeight="1" thickBot="1" x14ac:dyDescent="0.25">
      <c r="AD203" s="193"/>
      <c r="AE203" s="301" t="s">
        <v>103</v>
      </c>
      <c r="AF203" s="135" t="s">
        <v>155</v>
      </c>
      <c r="AG203" s="135" t="s">
        <v>156</v>
      </c>
      <c r="AH203" s="135" t="s">
        <v>158</v>
      </c>
      <c r="AI203" s="135" t="s">
        <v>159</v>
      </c>
      <c r="AJ203" s="135" t="s">
        <v>160</v>
      </c>
      <c r="AK203" s="135" t="s">
        <v>161</v>
      </c>
      <c r="AL203" s="135" t="s">
        <v>162</v>
      </c>
      <c r="AM203" s="135" t="s">
        <v>163</v>
      </c>
      <c r="AN203" s="135" t="s">
        <v>164</v>
      </c>
      <c r="AO203" s="135" t="s">
        <v>165</v>
      </c>
      <c r="AP203" s="135" t="s">
        <v>166</v>
      </c>
      <c r="AQ203" s="135" t="s">
        <v>167</v>
      </c>
      <c r="AR203" s="135" t="s">
        <v>168</v>
      </c>
      <c r="AS203" s="135" t="s">
        <v>169</v>
      </c>
      <c r="AT203" s="136" t="s">
        <v>608</v>
      </c>
      <c r="AU203" s="136" t="s">
        <v>609</v>
      </c>
      <c r="AV203" s="370" t="s">
        <v>179</v>
      </c>
      <c r="AW203" s="2"/>
      <c r="AZ203" s="1011" t="s">
        <v>171</v>
      </c>
      <c r="BA203" s="1012"/>
      <c r="BB203" s="1012"/>
      <c r="BC203" s="1012"/>
      <c r="BD203" s="1013"/>
      <c r="BE203" s="2"/>
      <c r="BF203" s="2"/>
      <c r="BG203" s="2"/>
      <c r="BH203" s="2"/>
      <c r="BI203" s="2"/>
      <c r="BJ203" s="2"/>
      <c r="BK203" s="2"/>
      <c r="BL203" s="2"/>
      <c r="BM203" s="2"/>
      <c r="BN203" s="2"/>
      <c r="BO203" s="2"/>
      <c r="BP203" s="2"/>
      <c r="BQ203" s="2"/>
      <c r="BT203" s="2"/>
      <c r="BU203" s="2"/>
      <c r="BV203" s="2"/>
      <c r="BW203" s="2"/>
      <c r="BX203" s="2"/>
      <c r="BY203" s="2"/>
      <c r="BZ203" s="2"/>
      <c r="CA203" s="2"/>
      <c r="CB203" s="2"/>
      <c r="CC203" s="2"/>
      <c r="CD203" s="2"/>
      <c r="CE203" s="2"/>
      <c r="CF203" s="2"/>
      <c r="CG203" s="2"/>
      <c r="CH203" s="2"/>
      <c r="CI203" s="2"/>
      <c r="CJ203" s="2"/>
      <c r="CK203" s="2"/>
    </row>
    <row r="204" spans="26:89" ht="12" customHeight="1" thickBot="1" x14ac:dyDescent="0.25">
      <c r="AD204" s="193"/>
      <c r="AE204" s="302" t="s">
        <v>458</v>
      </c>
      <c r="AF204" s="195">
        <v>200</v>
      </c>
      <c r="AG204" s="195">
        <v>200</v>
      </c>
      <c r="AH204" s="195">
        <v>0</v>
      </c>
      <c r="AI204" s="195">
        <v>250</v>
      </c>
      <c r="AJ204" s="195">
        <v>200</v>
      </c>
      <c r="AK204" s="195">
        <v>150</v>
      </c>
      <c r="AL204" s="195">
        <v>85</v>
      </c>
      <c r="AM204" s="195">
        <v>200</v>
      </c>
      <c r="AN204" s="195">
        <v>120</v>
      </c>
      <c r="AO204" s="195">
        <v>240</v>
      </c>
      <c r="AP204" s="195">
        <v>100</v>
      </c>
      <c r="AQ204" s="195">
        <v>150</v>
      </c>
      <c r="AR204" s="195">
        <v>200</v>
      </c>
      <c r="AS204" s="195">
        <v>400</v>
      </c>
      <c r="AT204" s="195">
        <v>240</v>
      </c>
      <c r="AU204" s="196">
        <v>300</v>
      </c>
      <c r="AV204" s="371">
        <f>SUM(AF204:AU204)</f>
        <v>3035</v>
      </c>
      <c r="AW204" s="2"/>
      <c r="AZ204" s="1014"/>
      <c r="BA204" s="1004"/>
      <c r="BB204" s="1004"/>
      <c r="BC204" s="1004"/>
      <c r="BD204" s="1015"/>
      <c r="BE204" s="2"/>
      <c r="BF204" s="2"/>
      <c r="BG204" s="2"/>
      <c r="BH204" s="2"/>
      <c r="BI204" s="2"/>
      <c r="BJ204" s="2"/>
      <c r="BK204" s="2"/>
      <c r="BL204" s="2"/>
      <c r="BM204" s="2"/>
      <c r="BN204" s="2"/>
      <c r="BO204" s="2"/>
      <c r="BP204" s="2"/>
      <c r="BQ204" s="2"/>
      <c r="BT204" s="1000" t="s">
        <v>171</v>
      </c>
      <c r="BU204" s="1001"/>
      <c r="BV204" s="1001"/>
      <c r="BW204" s="1001"/>
      <c r="BX204" s="1002"/>
      <c r="BY204" s="2"/>
      <c r="BZ204" s="2"/>
      <c r="CA204" s="2"/>
      <c r="CB204" s="2"/>
      <c r="CC204" s="2"/>
      <c r="CD204" s="2"/>
      <c r="CE204" s="2"/>
      <c r="CF204" s="2"/>
      <c r="CG204" s="2"/>
      <c r="CH204" s="2"/>
      <c r="CI204" s="2"/>
      <c r="CJ204" s="2"/>
      <c r="CK204" s="2"/>
    </row>
    <row r="205" spans="26:89" ht="12" customHeight="1" thickBot="1" x14ac:dyDescent="0.25">
      <c r="AD205" s="193"/>
      <c r="AE205" s="303" t="s">
        <v>569</v>
      </c>
      <c r="AF205" s="197">
        <v>400</v>
      </c>
      <c r="AG205" s="197">
        <v>400</v>
      </c>
      <c r="AH205" s="197">
        <v>0</v>
      </c>
      <c r="AI205" s="197">
        <v>250</v>
      </c>
      <c r="AJ205" s="197">
        <v>300</v>
      </c>
      <c r="AK205" s="197">
        <v>150</v>
      </c>
      <c r="AL205" s="197">
        <v>115</v>
      </c>
      <c r="AM205" s="197">
        <v>325</v>
      </c>
      <c r="AN205" s="197">
        <v>120</v>
      </c>
      <c r="AO205" s="197">
        <v>360</v>
      </c>
      <c r="AP205" s="197">
        <v>100</v>
      </c>
      <c r="AQ205" s="197">
        <v>200</v>
      </c>
      <c r="AR205" s="197">
        <v>300</v>
      </c>
      <c r="AS205" s="197">
        <v>450</v>
      </c>
      <c r="AT205" s="197">
        <v>240</v>
      </c>
      <c r="AU205" s="198">
        <v>400</v>
      </c>
      <c r="AV205" s="371">
        <f t="shared" ref="AV205:AV208" si="35">SUM(AF205:AU205)</f>
        <v>4110</v>
      </c>
      <c r="AW205" s="2"/>
      <c r="AZ205" s="95"/>
      <c r="BA205" s="96"/>
      <c r="BB205" s="473" t="s">
        <v>33</v>
      </c>
      <c r="BC205" s="474"/>
      <c r="BD205" s="475"/>
      <c r="BE205" s="2"/>
      <c r="BF205" s="2"/>
      <c r="BG205" s="2"/>
      <c r="BH205" s="2"/>
      <c r="BI205" s="2"/>
      <c r="BJ205" s="2"/>
      <c r="BK205" s="2"/>
      <c r="BL205" s="2"/>
      <c r="BM205" s="2"/>
      <c r="BN205" s="2"/>
      <c r="BO205" s="2"/>
      <c r="BP205" s="2"/>
      <c r="BQ205" s="2"/>
      <c r="BT205" s="1003"/>
      <c r="BU205" s="1004"/>
      <c r="BV205" s="1004"/>
      <c r="BW205" s="1004"/>
      <c r="BX205" s="1005"/>
      <c r="BY205" s="2"/>
      <c r="BZ205" s="2"/>
      <c r="CA205" s="2"/>
      <c r="CB205" s="2"/>
      <c r="CC205" s="2"/>
      <c r="CD205" s="2"/>
      <c r="CE205" s="2"/>
      <c r="CF205" s="2"/>
      <c r="CG205" s="2"/>
      <c r="CH205" s="2"/>
      <c r="CI205" s="2"/>
      <c r="CJ205" s="2"/>
      <c r="CK205" s="2"/>
    </row>
    <row r="206" spans="26:89" ht="12" customHeight="1" thickBot="1" x14ac:dyDescent="0.25">
      <c r="AD206" s="193"/>
      <c r="AE206" s="303" t="s">
        <v>570</v>
      </c>
      <c r="AF206" s="197">
        <v>500</v>
      </c>
      <c r="AG206" s="197">
        <v>500</v>
      </c>
      <c r="AH206" s="197">
        <v>240</v>
      </c>
      <c r="AI206" s="197">
        <v>500</v>
      </c>
      <c r="AJ206" s="197">
        <v>400</v>
      </c>
      <c r="AK206" s="197">
        <v>200</v>
      </c>
      <c r="AL206" s="197">
        <v>145</v>
      </c>
      <c r="AM206" s="197">
        <v>450</v>
      </c>
      <c r="AN206" s="197">
        <v>120</v>
      </c>
      <c r="AO206" s="197">
        <v>480</v>
      </c>
      <c r="AP206" s="197">
        <v>200</v>
      </c>
      <c r="AQ206" s="197">
        <v>250</v>
      </c>
      <c r="AR206" s="197">
        <v>400</v>
      </c>
      <c r="AS206" s="197">
        <v>500</v>
      </c>
      <c r="AT206" s="197">
        <v>360</v>
      </c>
      <c r="AU206" s="198">
        <v>500</v>
      </c>
      <c r="AV206" s="371">
        <f t="shared" si="35"/>
        <v>5745</v>
      </c>
      <c r="AW206" s="2"/>
      <c r="AZ206" s="98" t="s">
        <v>121</v>
      </c>
      <c r="BA206" s="99"/>
      <c r="BB206" s="100" t="s">
        <v>122</v>
      </c>
      <c r="BC206" s="100" t="s">
        <v>38</v>
      </c>
      <c r="BD206" s="99" t="s">
        <v>123</v>
      </c>
      <c r="BE206" s="2"/>
      <c r="BF206" s="2"/>
      <c r="BG206" s="2"/>
      <c r="BH206" s="2"/>
      <c r="BI206" s="2"/>
      <c r="BJ206" s="2"/>
      <c r="BK206" s="2"/>
      <c r="BL206" s="2"/>
      <c r="BM206" s="2"/>
      <c r="BN206" s="2"/>
      <c r="BO206" s="2"/>
      <c r="BP206" s="2"/>
      <c r="BQ206" s="2"/>
      <c r="BT206" s="310"/>
      <c r="BU206" s="96"/>
      <c r="BV206" s="473" t="s">
        <v>33</v>
      </c>
      <c r="BW206" s="474"/>
      <c r="BX206" s="311"/>
      <c r="BY206" s="2"/>
      <c r="BZ206" s="2"/>
      <c r="CA206" s="2"/>
      <c r="CB206" s="2"/>
      <c r="CC206" s="2"/>
      <c r="CD206" s="2"/>
      <c r="CE206" s="2"/>
      <c r="CF206" s="2"/>
      <c r="CG206" s="2"/>
      <c r="CH206" s="2"/>
      <c r="CI206" s="2"/>
      <c r="CJ206" s="2"/>
      <c r="CK206" s="2"/>
    </row>
    <row r="207" spans="26:89" ht="12" customHeight="1" thickBot="1" x14ac:dyDescent="0.25">
      <c r="AD207" s="193"/>
      <c r="AE207" s="303" t="s">
        <v>571</v>
      </c>
      <c r="AF207" s="197">
        <v>600</v>
      </c>
      <c r="AG207" s="197">
        <v>600</v>
      </c>
      <c r="AH207" s="197">
        <v>360</v>
      </c>
      <c r="AI207" s="197">
        <v>750</v>
      </c>
      <c r="AJ207" s="197">
        <v>500</v>
      </c>
      <c r="AK207" s="197">
        <v>20</v>
      </c>
      <c r="AL207" s="197">
        <v>175</v>
      </c>
      <c r="AM207" s="197">
        <v>575</v>
      </c>
      <c r="AN207" s="197">
        <v>120</v>
      </c>
      <c r="AO207" s="197">
        <v>600</v>
      </c>
      <c r="AP207" s="197">
        <v>200</v>
      </c>
      <c r="AQ207" s="197">
        <v>250</v>
      </c>
      <c r="AR207" s="197">
        <v>400</v>
      </c>
      <c r="AS207" s="197">
        <v>550</v>
      </c>
      <c r="AT207" s="197">
        <v>240</v>
      </c>
      <c r="AU207" s="198">
        <v>700</v>
      </c>
      <c r="AV207" s="371">
        <f t="shared" si="35"/>
        <v>6640</v>
      </c>
      <c r="AW207" s="2"/>
      <c r="AZ207" s="105" t="s">
        <v>508</v>
      </c>
      <c r="BA207" s="22" t="s">
        <v>173</v>
      </c>
      <c r="BB207" s="106">
        <v>1</v>
      </c>
      <c r="BC207" s="230">
        <f>IF($G$17=0,0,IF($G$17&lt;350,4000,IF($G$17&lt;=450,BB219,(IF($G$17&lt;=600,BB220,(IF($G$17&lt;=750,BB221,(IF($G$17&lt;=1000,BB222,(IF($G$17&lt;=1500,BB223,(IF($G$17&gt;1500,BB224)))))))))))))</f>
        <v>4000</v>
      </c>
      <c r="BD207" s="285">
        <f t="shared" ref="BD207:BD213" si="36">BB207*BC207</f>
        <v>4000</v>
      </c>
      <c r="BE207" s="3"/>
      <c r="BF207" s="2"/>
      <c r="BG207" s="2"/>
      <c r="BH207" s="2"/>
      <c r="BI207" s="2"/>
      <c r="BJ207" s="2"/>
      <c r="BK207" s="2"/>
      <c r="BL207" s="2"/>
      <c r="BM207" s="2"/>
      <c r="BN207" s="2"/>
      <c r="BO207" s="2"/>
      <c r="BP207" s="2"/>
      <c r="BQ207" s="2"/>
      <c r="BT207" s="312" t="s">
        <v>121</v>
      </c>
      <c r="BU207" s="99"/>
      <c r="BV207" s="100" t="s">
        <v>122</v>
      </c>
      <c r="BW207" s="100" t="s">
        <v>38</v>
      </c>
      <c r="BX207" s="313" t="s">
        <v>123</v>
      </c>
      <c r="BY207" s="2"/>
      <c r="BZ207" s="2"/>
      <c r="CA207" s="2"/>
      <c r="CB207" s="2"/>
      <c r="CC207" s="2"/>
      <c r="CD207" s="2"/>
      <c r="CE207" s="2"/>
      <c r="CF207" s="2"/>
      <c r="CG207" s="2"/>
      <c r="CH207" s="2"/>
      <c r="CI207" s="2"/>
      <c r="CJ207" s="2"/>
      <c r="CK207" s="2"/>
    </row>
    <row r="208" spans="26:89" ht="12" customHeight="1" thickBot="1" x14ac:dyDescent="0.25">
      <c r="AD208" s="193"/>
      <c r="AE208" s="496" t="s">
        <v>575</v>
      </c>
      <c r="AF208" s="497">
        <v>600</v>
      </c>
      <c r="AG208" s="497">
        <v>600</v>
      </c>
      <c r="AH208" s="497">
        <v>720</v>
      </c>
      <c r="AI208" s="497">
        <v>750</v>
      </c>
      <c r="AJ208" s="497">
        <v>500</v>
      </c>
      <c r="AK208" s="497">
        <v>200</v>
      </c>
      <c r="AL208" s="497">
        <v>200</v>
      </c>
      <c r="AM208" s="497">
        <v>575</v>
      </c>
      <c r="AN208" s="497">
        <v>120</v>
      </c>
      <c r="AO208" s="497">
        <v>960</v>
      </c>
      <c r="AP208" s="497">
        <v>200</v>
      </c>
      <c r="AQ208" s="497">
        <v>250</v>
      </c>
      <c r="AR208" s="497">
        <v>400</v>
      </c>
      <c r="AS208" s="497">
        <v>550</v>
      </c>
      <c r="AT208" s="497">
        <v>360</v>
      </c>
      <c r="AU208" s="498">
        <v>700</v>
      </c>
      <c r="AV208" s="499">
        <f t="shared" si="35"/>
        <v>7685</v>
      </c>
      <c r="AW208" s="2"/>
      <c r="AZ208" s="105" t="s">
        <v>509</v>
      </c>
      <c r="BA208" s="22" t="s">
        <v>519</v>
      </c>
      <c r="BB208" s="106">
        <v>1</v>
      </c>
      <c r="BC208" s="230">
        <f>IF($G$17=0,0,IF($G$17&lt;=450,BC219,(IF($G$17&lt;=600,BC220,(IF($G$17&lt;=750,BC221,(IF($G$17&lt;=1000,BC222,(IF($G$17&lt;=1500,BC223,(IF($G$17&gt;1500,BC224))))))))))))</f>
        <v>0</v>
      </c>
      <c r="BD208" s="112">
        <f t="shared" si="36"/>
        <v>0</v>
      </c>
      <c r="BE208" s="3"/>
      <c r="BF208" s="2"/>
      <c r="BG208" s="2"/>
      <c r="BH208" s="2"/>
      <c r="BI208" s="2"/>
      <c r="BJ208" s="2"/>
      <c r="BK208" s="2"/>
      <c r="BL208" s="2"/>
      <c r="BM208" s="2"/>
      <c r="BN208" s="2"/>
      <c r="BO208" s="2"/>
      <c r="BP208" s="2"/>
      <c r="BQ208" s="2"/>
      <c r="BT208" s="317" t="s">
        <v>172</v>
      </c>
      <c r="BU208" s="22" t="s">
        <v>173</v>
      </c>
      <c r="BV208" s="106">
        <v>1</v>
      </c>
      <c r="BW208" s="230">
        <f>IF($G$16=0,0,IF($G$16&lt;350,0,IF($G$16&lt;=400,BV215,(IF($G$16&lt;=550,BV216,(IF($G$16&lt;=700,BV217,(IF($G$16&gt;700,BV217)))))))))</f>
        <v>0</v>
      </c>
      <c r="BX208" s="315">
        <f>BV208*BW208</f>
        <v>0</v>
      </c>
      <c r="BY208" s="3"/>
      <c r="BZ208" s="2"/>
      <c r="CA208" s="2"/>
      <c r="CB208" s="2"/>
      <c r="CC208" s="2"/>
      <c r="CD208" s="2"/>
      <c r="CE208" s="2"/>
      <c r="CF208" s="2"/>
      <c r="CG208" s="2"/>
      <c r="CH208" s="2"/>
      <c r="CI208" s="2"/>
      <c r="CJ208" s="2"/>
      <c r="CK208" s="2"/>
    </row>
    <row r="209" spans="30:89" ht="12" customHeight="1" thickBot="1" x14ac:dyDescent="0.25">
      <c r="AD209" s="117"/>
      <c r="AE209" s="990" t="s">
        <v>110</v>
      </c>
      <c r="AF209" s="991"/>
      <c r="AG209" s="991"/>
      <c r="AH209" s="991"/>
      <c r="AI209" s="991"/>
      <c r="AJ209" s="991"/>
      <c r="AK209" s="991"/>
      <c r="AL209" s="991"/>
      <c r="AM209" s="991"/>
      <c r="AN209" s="991"/>
      <c r="AO209" s="991"/>
      <c r="AP209" s="991"/>
      <c r="AQ209" s="991"/>
      <c r="AR209" s="991"/>
      <c r="AS209" s="991"/>
      <c r="AT209" s="991"/>
      <c r="AU209" s="991"/>
      <c r="AV209" s="992"/>
      <c r="AW209" s="2"/>
      <c r="AZ209" s="105" t="s">
        <v>510</v>
      </c>
      <c r="BA209" s="22" t="s">
        <v>520</v>
      </c>
      <c r="BB209" s="106">
        <v>1</v>
      </c>
      <c r="BC209" s="479">
        <f>IF($G$17=0,0,IF(AH220&gt;0,0,IF($G$17&lt;=450,BD219,(IF($G$17&lt;=600,BD220,(IF($G$17&lt;=750,BD221,(IF($G$17&lt;=1000,BD222,(IF($G$17&lt;=1500,BD223,(IF($G$17&gt;1500,BD224)))))))))))))</f>
        <v>0</v>
      </c>
      <c r="BD209" s="112">
        <f t="shared" si="36"/>
        <v>0</v>
      </c>
      <c r="BE209" s="4"/>
      <c r="BM209" s="2"/>
      <c r="BN209" s="2"/>
      <c r="BO209" s="2"/>
      <c r="BP209" s="2"/>
      <c r="BQ209" s="2"/>
      <c r="BT209" s="317" t="s">
        <v>174</v>
      </c>
      <c r="BU209" s="22" t="s">
        <v>175</v>
      </c>
      <c r="BV209" s="106">
        <v>1</v>
      </c>
      <c r="BW209" s="300">
        <f>IF($G$16=0,0,IF($G$16&lt;350,0,IF($G$16&lt;=400,BW215,(IF($G$16&lt;=550,BW216,(IF($G$16&lt;=700,BW217,(IF($G$16&gt;700,BW217)))))))))</f>
        <v>0</v>
      </c>
      <c r="BX209" s="316">
        <f>BV209*BW209</f>
        <v>0</v>
      </c>
      <c r="BY209" s="3"/>
      <c r="BZ209" s="2"/>
      <c r="CA209" s="2"/>
      <c r="CB209" s="2"/>
      <c r="CC209" s="2"/>
      <c r="CD209" s="2"/>
      <c r="CE209" s="2"/>
      <c r="CF209" s="2"/>
      <c r="CG209" s="2"/>
      <c r="CH209" s="2"/>
      <c r="CI209" s="2"/>
      <c r="CJ209" s="2"/>
      <c r="CK209" s="2"/>
    </row>
    <row r="210" spans="30:89" ht="12" customHeight="1" thickBot="1" x14ac:dyDescent="0.25">
      <c r="AD210" s="117"/>
      <c r="AM210" s="2"/>
      <c r="AN210" s="2"/>
      <c r="AO210" s="2"/>
      <c r="AP210" s="2"/>
      <c r="AQ210" s="2"/>
      <c r="AR210" s="2"/>
      <c r="AS210" s="2"/>
      <c r="AT210" s="2"/>
      <c r="AU210" s="2"/>
      <c r="AV210" s="2"/>
      <c r="AW210" s="2"/>
      <c r="AZ210" s="105" t="s">
        <v>511</v>
      </c>
      <c r="BA210" s="22" t="s">
        <v>521</v>
      </c>
      <c r="BB210" s="106">
        <v>1</v>
      </c>
      <c r="BC210" s="479">
        <f>IF($G$17=0,0,IF(AH221&gt;0,0,IF($G$17&lt;=450,BE219,(IF($G$17&lt;=600,BE220,(IF($G$17&lt;=750,BE222,(IF($G$17&lt;=1000,BE221,(IF($G$17&lt;=1500,BE223,(IF($G$17&gt;1500,BE224)))))))))))))</f>
        <v>0</v>
      </c>
      <c r="BD210" s="112">
        <f t="shared" si="36"/>
        <v>0</v>
      </c>
      <c r="BE210" s="4"/>
      <c r="BM210" s="2"/>
      <c r="BN210" s="2"/>
      <c r="BO210" s="2"/>
      <c r="BP210" s="2"/>
      <c r="BQ210" s="2"/>
      <c r="BT210" s="317"/>
      <c r="BU210" s="22"/>
      <c r="BV210" s="80"/>
      <c r="BW210" s="80"/>
      <c r="BX210" s="318"/>
      <c r="BY210" s="2"/>
      <c r="BZ210" s="2"/>
      <c r="CA210" s="2"/>
      <c r="CB210" s="2"/>
      <c r="CC210" s="2"/>
      <c r="CD210" s="2"/>
      <c r="CE210" s="2"/>
      <c r="CF210" s="2"/>
      <c r="CG210" s="2"/>
      <c r="CH210" s="2"/>
      <c r="CI210" s="2"/>
      <c r="CJ210" s="2"/>
      <c r="CK210" s="2"/>
    </row>
    <row r="211" spans="30:89" ht="12" customHeight="1" thickBot="1" x14ac:dyDescent="0.25">
      <c r="AD211" s="1000" t="s">
        <v>171</v>
      </c>
      <c r="AE211" s="1001"/>
      <c r="AF211" s="1001"/>
      <c r="AG211" s="1001"/>
      <c r="AH211" s="1002"/>
      <c r="AM211" s="2"/>
      <c r="AN211" s="2"/>
      <c r="AO211" s="2"/>
      <c r="AP211" s="2"/>
      <c r="AQ211" s="2"/>
      <c r="AR211" s="2"/>
      <c r="AS211" s="2"/>
      <c r="AT211" s="2"/>
      <c r="AU211" s="2"/>
      <c r="AV211" s="2"/>
      <c r="AW211" s="2"/>
      <c r="AZ211" s="105" t="s">
        <v>512</v>
      </c>
      <c r="BA211" s="22" t="s">
        <v>522</v>
      </c>
      <c r="BB211" s="106">
        <v>1</v>
      </c>
      <c r="BC211" s="230">
        <f>IF($G$17=0,0,IF(AH217&gt;0,0,IF($G$17&lt;=450,BF219,(IF($G$17&lt;=600,BF220,(IF($G$17&lt;=750,BF222,(IF($G$17&lt;=1000,BF221,(IF($G$17&lt;=1500,BF223,(IF($G$17&gt;1500,BF224)))))))))))))</f>
        <v>0</v>
      </c>
      <c r="BD211" s="112">
        <f t="shared" si="36"/>
        <v>0</v>
      </c>
      <c r="BE211" s="4"/>
      <c r="BM211" s="2"/>
      <c r="BN211" s="2"/>
      <c r="BO211" s="2"/>
      <c r="BP211" s="2"/>
      <c r="BQ211" s="2"/>
      <c r="BT211" s="319" t="s">
        <v>176</v>
      </c>
      <c r="BU211" s="320"/>
      <c r="BV211" s="321"/>
      <c r="BW211" s="321"/>
      <c r="BX211" s="322">
        <f>SUM(BX208:BX209)</f>
        <v>0</v>
      </c>
      <c r="BY211" s="2"/>
      <c r="BZ211" s="2"/>
      <c r="CA211" s="2"/>
      <c r="CB211" s="2"/>
      <c r="CC211" s="2"/>
      <c r="CD211" s="2"/>
      <c r="CE211" s="2"/>
      <c r="CF211" s="2"/>
      <c r="CG211" s="2"/>
      <c r="CH211" s="2"/>
      <c r="CI211" s="2"/>
      <c r="CJ211" s="2"/>
      <c r="CK211" s="2"/>
    </row>
    <row r="212" spans="30:89" ht="12" customHeight="1" thickBot="1" x14ac:dyDescent="0.25">
      <c r="AD212" s="1003"/>
      <c r="AE212" s="1004"/>
      <c r="AF212" s="1004"/>
      <c r="AG212" s="1004"/>
      <c r="AH212" s="1005"/>
      <c r="AI212" s="2"/>
      <c r="AJ212" s="2"/>
      <c r="AK212" s="2"/>
      <c r="AL212" s="2"/>
      <c r="AM212" s="2"/>
      <c r="AN212" s="2"/>
      <c r="AO212" s="2"/>
      <c r="AP212" s="2"/>
      <c r="AQ212" s="2"/>
      <c r="AR212" s="2"/>
      <c r="AS212" s="2"/>
      <c r="AT212" s="2"/>
      <c r="AU212" s="2"/>
      <c r="AV212" s="2"/>
      <c r="AW212" s="2"/>
      <c r="AZ212" s="105" t="s">
        <v>513</v>
      </c>
      <c r="BA212" s="22" t="s">
        <v>523</v>
      </c>
      <c r="BB212" s="106">
        <v>1</v>
      </c>
      <c r="BC212" s="479">
        <f>IF($G$17=0,0,IF(AH218&gt;0,0,IF($G$17&lt;=450,BG219,(IF($G$17&lt;=600,BG220,(IF($G$17&lt;=750,BG222,(IF($G$17&lt;=1000,BG221,(IF($G$17&lt;=1500,BG223,(IF($G$17&gt;1500,BG224)))))))))))))</f>
        <v>0</v>
      </c>
      <c r="BD212" s="112">
        <f t="shared" si="36"/>
        <v>0</v>
      </c>
      <c r="BE212" s="4"/>
      <c r="BM212" s="2"/>
      <c r="BN212" s="2"/>
      <c r="BO212" s="2"/>
      <c r="BP212" s="2"/>
      <c r="BQ212" s="2"/>
      <c r="BT212" s="2"/>
      <c r="BU212" s="2"/>
      <c r="BV212" s="2"/>
      <c r="BW212" s="2"/>
      <c r="BX212" s="2"/>
      <c r="BY212" s="2"/>
      <c r="BZ212" s="2"/>
      <c r="CA212" s="2"/>
      <c r="CB212" s="2"/>
      <c r="CC212" s="2"/>
      <c r="CD212" s="2"/>
      <c r="CE212" s="2"/>
      <c r="CF212" s="2"/>
      <c r="CG212" s="2"/>
      <c r="CH212" s="2"/>
      <c r="CI212" s="2"/>
      <c r="CJ212" s="2"/>
      <c r="CK212" s="2"/>
    </row>
    <row r="213" spans="30:89" ht="12" customHeight="1" thickBot="1" x14ac:dyDescent="0.25">
      <c r="AD213" s="310"/>
      <c r="AE213" s="96"/>
      <c r="AF213" s="473" t="s">
        <v>33</v>
      </c>
      <c r="AG213" s="474"/>
      <c r="AH213" s="311"/>
      <c r="AI213" s="2"/>
      <c r="AJ213" s="2"/>
      <c r="AK213" s="2"/>
      <c r="AL213" s="2"/>
      <c r="AM213" s="2"/>
      <c r="AN213" s="2"/>
      <c r="AO213" s="2"/>
      <c r="AP213" s="2"/>
      <c r="AQ213" s="2"/>
      <c r="AR213" s="2"/>
      <c r="AS213" s="2"/>
      <c r="AT213" s="2"/>
      <c r="AU213" s="2"/>
      <c r="AV213" s="2"/>
      <c r="AW213" s="2"/>
      <c r="AZ213" s="105" t="s">
        <v>514</v>
      </c>
      <c r="BA213" s="22" t="s">
        <v>524</v>
      </c>
      <c r="BB213" s="106">
        <v>1</v>
      </c>
      <c r="BC213" s="300">
        <f>IF($G$17=0,0,IF(AH219&gt;0,0,IF($G$17&lt;=450,BH219,(IF($G$17&lt;=600,BH220,(IF($G$17&lt;=750,BH222,(IF($G$17&lt;=1000,BH221,(IF($G$17&lt;=1500,BH223,(IF($G$17&gt;1500,BH224)))))))))))))</f>
        <v>0</v>
      </c>
      <c r="BD213" s="112">
        <f t="shared" si="36"/>
        <v>0</v>
      </c>
      <c r="BE213" s="4"/>
      <c r="BM213" s="2"/>
      <c r="BN213" s="2"/>
      <c r="BO213" s="2"/>
      <c r="BP213" s="2"/>
      <c r="BQ213" s="2"/>
      <c r="BT213" s="2"/>
      <c r="BU213" s="945" t="s">
        <v>102</v>
      </c>
      <c r="BV213" s="946"/>
      <c r="BW213" s="946"/>
      <c r="BX213" s="947"/>
      <c r="BY213" s="2"/>
      <c r="BZ213" s="2"/>
      <c r="CA213" s="2"/>
      <c r="CB213" s="2"/>
      <c r="CC213" s="2"/>
      <c r="CD213" s="2"/>
      <c r="CE213" s="2"/>
      <c r="CF213" s="2"/>
      <c r="CG213" s="2"/>
      <c r="CH213" s="2"/>
      <c r="CI213" s="2"/>
      <c r="CJ213" s="2"/>
      <c r="CK213" s="2"/>
    </row>
    <row r="214" spans="30:89" ht="12" customHeight="1" thickBot="1" x14ac:dyDescent="0.25">
      <c r="AD214" s="312" t="s">
        <v>121</v>
      </c>
      <c r="AE214" s="99"/>
      <c r="AF214" s="100" t="s">
        <v>122</v>
      </c>
      <c r="AG214" s="100" t="s">
        <v>38</v>
      </c>
      <c r="AH214" s="313" t="s">
        <v>123</v>
      </c>
      <c r="AI214" s="2"/>
      <c r="AJ214" s="2"/>
      <c r="AK214" s="2"/>
      <c r="AL214" s="2"/>
      <c r="AM214" s="2"/>
      <c r="AN214" s="2"/>
      <c r="AO214" s="2"/>
      <c r="AP214" s="2"/>
      <c r="AQ214" s="2"/>
      <c r="AR214" s="2"/>
      <c r="AS214" s="2"/>
      <c r="AT214" s="2"/>
      <c r="AU214" s="2"/>
      <c r="AZ214" s="101"/>
      <c r="BA214" s="22"/>
      <c r="BB214" s="80"/>
      <c r="BC214" s="80"/>
      <c r="BD214" s="73"/>
      <c r="BE214" s="2"/>
      <c r="BF214" s="2"/>
      <c r="BG214" s="2"/>
      <c r="BH214" s="2"/>
      <c r="BI214" s="2"/>
      <c r="BJ214" s="2"/>
      <c r="BK214" s="2"/>
      <c r="BL214" s="2"/>
      <c r="BM214" s="2"/>
      <c r="BN214" s="2"/>
      <c r="BO214" s="2"/>
      <c r="BP214" s="2"/>
      <c r="BQ214" s="2"/>
      <c r="BT214" s="2"/>
      <c r="BU214" s="201" t="s">
        <v>103</v>
      </c>
      <c r="BV214" s="194" t="s">
        <v>177</v>
      </c>
      <c r="BW214" s="194" t="s">
        <v>178</v>
      </c>
      <c r="BX214" s="174" t="s">
        <v>179</v>
      </c>
      <c r="BY214" s="2"/>
      <c r="BZ214" s="2"/>
      <c r="CA214" s="2"/>
      <c r="CB214" s="2"/>
      <c r="CC214" s="2"/>
      <c r="CD214" s="2"/>
      <c r="CE214" s="2"/>
      <c r="CF214" s="2"/>
      <c r="CG214" s="2"/>
      <c r="CH214" s="2"/>
      <c r="CI214" s="2"/>
      <c r="CJ214" s="2"/>
      <c r="CK214" s="2"/>
    </row>
    <row r="215" spans="30:89" ht="12" customHeight="1" thickBot="1" x14ac:dyDescent="0.25">
      <c r="AD215" s="435" t="s">
        <v>682</v>
      </c>
      <c r="AE215" s="416" t="s">
        <v>173</v>
      </c>
      <c r="AF215" s="284">
        <v>1</v>
      </c>
      <c r="AG215" s="230">
        <f>IF($G$18=0,0,IF($G$18&lt;=450,AF232,(IF($G$18&lt;=800,AF233,(IF($G$18&lt;=1200,AF234,(IF($G$18&lt;=1600,AF235,(IF($G$18&gt;1600,AF236))))))))))</f>
        <v>9300</v>
      </c>
      <c r="AH215" s="365">
        <f t="shared" ref="AH215:AH226" si="37">AF215*AG215</f>
        <v>9300</v>
      </c>
      <c r="AI215" s="3"/>
      <c r="AJ215" s="2"/>
      <c r="AK215" s="2"/>
      <c r="AL215" s="2"/>
      <c r="AM215" s="2"/>
      <c r="AN215" s="2"/>
      <c r="AO215" s="2"/>
      <c r="AP215" s="2"/>
      <c r="AQ215" s="2"/>
      <c r="AR215" s="2"/>
      <c r="AS215" s="2"/>
      <c r="AT215" s="2"/>
      <c r="AU215" s="2"/>
      <c r="AZ215" s="113" t="s">
        <v>176</v>
      </c>
      <c r="BA215" s="114"/>
      <c r="BB215" s="148"/>
      <c r="BC215" s="148"/>
      <c r="BD215" s="116">
        <f>SUM(BD207:BD213)</f>
        <v>4000</v>
      </c>
      <c r="BE215" s="2"/>
      <c r="BF215" s="2"/>
      <c r="BG215" s="2"/>
      <c r="BH215" s="2"/>
      <c r="BI215" s="2"/>
      <c r="BJ215" s="2"/>
      <c r="BK215" s="2"/>
      <c r="BL215" s="2"/>
      <c r="BM215" s="2"/>
      <c r="BN215" s="2"/>
      <c r="BO215" s="2"/>
      <c r="BP215" s="2"/>
      <c r="BQ215" s="2"/>
      <c r="BT215" s="2"/>
      <c r="BU215" s="202" t="s">
        <v>104</v>
      </c>
      <c r="BV215" s="203">
        <v>3500</v>
      </c>
      <c r="BW215" s="204">
        <v>200</v>
      </c>
      <c r="BX215" s="139">
        <f>SUM(BV215:BW215)</f>
        <v>3700</v>
      </c>
      <c r="BY215" s="2"/>
      <c r="BZ215" s="2"/>
      <c r="CA215" s="2"/>
      <c r="CB215" s="2"/>
      <c r="CC215" s="2"/>
      <c r="CD215" s="2"/>
      <c r="CE215" s="2"/>
      <c r="CF215" s="2"/>
      <c r="CG215" s="2"/>
      <c r="CH215" s="2"/>
      <c r="CI215" s="2"/>
      <c r="CJ215" s="2"/>
      <c r="CK215" s="2"/>
    </row>
    <row r="216" spans="30:89" ht="12" customHeight="1" thickTop="1" thickBot="1" x14ac:dyDescent="0.25">
      <c r="AD216" s="435" t="s">
        <v>683</v>
      </c>
      <c r="AE216" s="416" t="s">
        <v>684</v>
      </c>
      <c r="AF216" s="187">
        <v>1</v>
      </c>
      <c r="AG216" s="230">
        <f>IF($G$18=0,0,IF(BD207&gt;0,0,IF($G$18&lt;350,0,IF($G$18&lt;=450,AG232,(IF($G$18&lt;=800,AG233,(IF($G$18&lt;=1200,AG234,(IF($G$18&lt;=1600,AG235,(IF($G$18&gt;1600,AG236))))))))))))</f>
        <v>0</v>
      </c>
      <c r="AH216" s="316">
        <f t="shared" si="37"/>
        <v>0</v>
      </c>
      <c r="AI216" s="3"/>
      <c r="AJ216" s="2"/>
      <c r="AK216" s="2"/>
      <c r="AL216" s="2"/>
      <c r="AM216" s="2"/>
      <c r="AN216" s="2"/>
      <c r="AO216" s="2"/>
      <c r="AP216" s="2"/>
      <c r="AQ216" s="2"/>
      <c r="AR216" s="2"/>
      <c r="AS216" s="2"/>
      <c r="AT216" s="2"/>
      <c r="AU216" s="2"/>
      <c r="AZ216" s="2"/>
      <c r="BA216" s="2"/>
      <c r="BB216" s="2"/>
      <c r="BC216" s="2"/>
      <c r="BD216" s="2"/>
      <c r="BE216" s="2"/>
      <c r="BF216" s="2"/>
      <c r="BG216" s="2"/>
      <c r="BH216" s="2"/>
      <c r="BI216" s="2"/>
      <c r="BJ216" s="2"/>
      <c r="BK216" s="2"/>
      <c r="BL216" s="2"/>
      <c r="BM216" s="2"/>
      <c r="BN216" s="2"/>
      <c r="BO216" s="2"/>
      <c r="BP216" s="2"/>
      <c r="BQ216" s="2"/>
      <c r="BT216" s="2"/>
      <c r="BU216" s="140" t="s">
        <v>105</v>
      </c>
      <c r="BV216" s="141">
        <v>4000</v>
      </c>
      <c r="BW216" s="197">
        <v>300</v>
      </c>
      <c r="BX216" s="139">
        <f t="shared" ref="BX216:BX217" si="38">SUM(BV216:BW216)</f>
        <v>4300</v>
      </c>
      <c r="BY216" s="2"/>
      <c r="BZ216" s="2"/>
      <c r="CA216" s="2"/>
      <c r="CB216" s="2"/>
      <c r="CC216" s="2"/>
      <c r="CD216" s="2"/>
      <c r="CE216" s="2"/>
      <c r="CF216" s="2"/>
      <c r="CG216" s="2"/>
      <c r="CH216" s="2"/>
      <c r="CI216" s="2"/>
      <c r="CJ216" s="2"/>
      <c r="CK216" s="2"/>
    </row>
    <row r="217" spans="30:89" ht="12" customHeight="1" thickBot="1" x14ac:dyDescent="0.25">
      <c r="AD217" s="435" t="s">
        <v>685</v>
      </c>
      <c r="AE217" s="49" t="s">
        <v>522</v>
      </c>
      <c r="AF217" s="187">
        <v>1</v>
      </c>
      <c r="AG217" s="230">
        <f>IF($G$18=0,0,IF($G$18&lt;=450,AH232,(IF($G$18&lt;=800,AH233,(IF($G$18&lt;=1200,AH234,(IF($G$18&lt;=1600,AH235,(IF($G$18&gt;1600,AH236))))))))))</f>
        <v>1100</v>
      </c>
      <c r="AH217" s="316">
        <f t="shared" si="37"/>
        <v>1100</v>
      </c>
      <c r="AI217" s="3"/>
      <c r="AJ217" s="2"/>
      <c r="AK217" s="2"/>
      <c r="AL217" s="2"/>
      <c r="AM217" s="2"/>
      <c r="AN217" s="2"/>
      <c r="AO217" s="2"/>
      <c r="AP217" s="2"/>
      <c r="AQ217" s="2"/>
      <c r="AR217" s="2"/>
      <c r="AS217" s="2"/>
      <c r="AT217" s="2"/>
      <c r="AU217" s="2"/>
      <c r="AZ217" s="2"/>
      <c r="BA217" s="945" t="s">
        <v>102</v>
      </c>
      <c r="BB217" s="946"/>
      <c r="BC217" s="946"/>
      <c r="BD217" s="946"/>
      <c r="BE217" s="946"/>
      <c r="BF217" s="946"/>
      <c r="BG217" s="946"/>
      <c r="BH217" s="946"/>
      <c r="BI217" s="947"/>
      <c r="BJ217" s="2"/>
      <c r="BK217" s="2"/>
      <c r="BL217" s="2"/>
      <c r="BM217" s="2"/>
      <c r="BN217" s="2"/>
      <c r="BO217" s="2"/>
      <c r="BP217" s="2"/>
      <c r="BQ217" s="2"/>
      <c r="BT217" s="2"/>
      <c r="BU217" s="140" t="s">
        <v>106</v>
      </c>
      <c r="BV217" s="141">
        <v>4700</v>
      </c>
      <c r="BW217" s="197">
        <v>400</v>
      </c>
      <c r="BX217" s="139">
        <f t="shared" si="38"/>
        <v>5100</v>
      </c>
      <c r="BY217" s="2"/>
      <c r="BZ217" s="2"/>
      <c r="CA217" s="2"/>
      <c r="CB217" s="2"/>
      <c r="CC217" s="2"/>
      <c r="CD217" s="2"/>
      <c r="CE217" s="2"/>
      <c r="CF217" s="2"/>
      <c r="CG217" s="2"/>
      <c r="CH217" s="2"/>
      <c r="CI217" s="2"/>
      <c r="CJ217" s="2"/>
      <c r="CK217" s="2"/>
    </row>
    <row r="218" spans="30:89" ht="12" customHeight="1" thickBot="1" x14ac:dyDescent="0.25">
      <c r="AD218" s="435" t="s">
        <v>686</v>
      </c>
      <c r="AE218" s="49" t="s">
        <v>523</v>
      </c>
      <c r="AF218" s="187">
        <v>1</v>
      </c>
      <c r="AG218" s="230">
        <f>IF($G$18=0,0,IF($G$18&lt;=450,AI232,(IF($G$18&lt;=800,AI233,(IF($G$18&lt;=1200,AI234,(IF($G$18&lt;=1600,AI235,(IF($G$18&gt;1600,AI236))))))))))</f>
        <v>400</v>
      </c>
      <c r="AH218" s="316">
        <f t="shared" si="37"/>
        <v>400</v>
      </c>
      <c r="AI218" s="3"/>
      <c r="AJ218" s="2"/>
      <c r="AK218" s="2"/>
      <c r="AL218" s="2"/>
      <c r="AM218" s="2"/>
      <c r="AN218" s="2"/>
      <c r="AO218" s="2"/>
      <c r="AP218" s="2"/>
      <c r="AQ218" s="2"/>
      <c r="AR218" s="2"/>
      <c r="AS218" s="2"/>
      <c r="AT218" s="2"/>
      <c r="AU218" s="2"/>
      <c r="AZ218" s="2"/>
      <c r="BA218" s="201" t="s">
        <v>103</v>
      </c>
      <c r="BB218" s="194" t="s">
        <v>177</v>
      </c>
      <c r="BC218" s="194" t="s">
        <v>178</v>
      </c>
      <c r="BD218" s="194" t="s">
        <v>515</v>
      </c>
      <c r="BE218" s="194" t="s">
        <v>516</v>
      </c>
      <c r="BF218" s="194" t="s">
        <v>517</v>
      </c>
      <c r="BG218" s="194" t="s">
        <v>518</v>
      </c>
      <c r="BH218" s="194" t="s">
        <v>525</v>
      </c>
      <c r="BI218" s="174" t="s">
        <v>179</v>
      </c>
      <c r="BJ218" s="2"/>
      <c r="BK218" s="2"/>
      <c r="BL218" s="2"/>
      <c r="BM218" s="2"/>
      <c r="BN218" s="2"/>
      <c r="BO218" s="2"/>
      <c r="BP218" s="2"/>
      <c r="BQ218" s="2"/>
      <c r="BT218" s="2"/>
      <c r="BU218" s="948" t="s">
        <v>110</v>
      </c>
      <c r="BV218" s="949"/>
      <c r="BW218" s="949"/>
      <c r="BX218" s="950"/>
      <c r="BY218" s="2"/>
      <c r="BZ218" s="2"/>
      <c r="CA218" s="2"/>
      <c r="CB218" s="2"/>
      <c r="CC218" s="2"/>
      <c r="CD218" s="2"/>
      <c r="CE218" s="2"/>
      <c r="CF218" s="2"/>
      <c r="CG218" s="2"/>
      <c r="CH218" s="2"/>
      <c r="CI218" s="2"/>
      <c r="CJ218" s="2"/>
      <c r="CK218" s="2"/>
    </row>
    <row r="219" spans="30:89" ht="12" customHeight="1" x14ac:dyDescent="0.2">
      <c r="AD219" s="435" t="s">
        <v>687</v>
      </c>
      <c r="AE219" s="49" t="s">
        <v>524</v>
      </c>
      <c r="AF219" s="187">
        <v>1</v>
      </c>
      <c r="AG219" s="230">
        <f>IF($G$18=0,0,IF($G$18&lt;=450,AJ232,(IF($G$18&lt;=800,AJ233,(IF($G$18&lt;=1200,AJ234,(IF($G$18&lt;=1600,AJ235,(IF($G$18&gt;1600,AJ236))))))))))</f>
        <v>400</v>
      </c>
      <c r="AH219" s="316">
        <f t="shared" si="37"/>
        <v>400</v>
      </c>
      <c r="AI219" s="3"/>
      <c r="AJ219" s="2"/>
      <c r="AK219" s="2"/>
      <c r="AL219" s="2"/>
      <c r="AM219" s="2"/>
      <c r="AN219" s="2"/>
      <c r="AO219" s="2"/>
      <c r="AP219" s="2"/>
      <c r="AQ219" s="2"/>
      <c r="AR219" s="2"/>
      <c r="AS219" s="2"/>
      <c r="AT219" s="2"/>
      <c r="AU219" s="2"/>
      <c r="AZ219" s="2"/>
      <c r="BA219" s="137" t="s">
        <v>458</v>
      </c>
      <c r="BB219" s="203">
        <v>7000</v>
      </c>
      <c r="BC219" s="204">
        <v>0</v>
      </c>
      <c r="BD219" s="204">
        <v>150</v>
      </c>
      <c r="BE219" s="204">
        <v>150</v>
      </c>
      <c r="BF219" s="204">
        <v>1200</v>
      </c>
      <c r="BG219" s="204">
        <v>500</v>
      </c>
      <c r="BH219" s="204">
        <v>300</v>
      </c>
      <c r="BI219" s="139">
        <f>SUM(BB219:BH219)</f>
        <v>9300</v>
      </c>
      <c r="BJ219" s="2"/>
      <c r="BK219" s="2"/>
      <c r="BL219" s="2"/>
      <c r="BM219" s="2"/>
      <c r="BN219" s="2"/>
      <c r="BO219" s="2"/>
      <c r="BP219" s="2"/>
      <c r="BQ219" s="2"/>
      <c r="BT219" s="2"/>
      <c r="BU219" s="2"/>
      <c r="BV219" s="2"/>
      <c r="BW219" s="2"/>
      <c r="BX219" s="2"/>
      <c r="BY219" s="2"/>
      <c r="BZ219" s="2"/>
      <c r="CA219" s="2"/>
      <c r="CB219" s="2"/>
      <c r="CC219" s="2"/>
      <c r="CD219" s="2"/>
      <c r="CE219" s="2"/>
      <c r="CF219" s="2"/>
      <c r="CG219" s="2"/>
      <c r="CH219" s="2"/>
      <c r="CI219" s="2"/>
      <c r="CJ219" s="2"/>
      <c r="CK219" s="2"/>
    </row>
    <row r="220" spans="30:89" ht="12" customHeight="1" x14ac:dyDescent="0.2">
      <c r="AD220" s="435" t="s">
        <v>688</v>
      </c>
      <c r="AE220" s="49" t="s">
        <v>520</v>
      </c>
      <c r="AF220" s="187">
        <v>1</v>
      </c>
      <c r="AG220" s="479">
        <f>IF($G$18=0,0,150)</f>
        <v>150</v>
      </c>
      <c r="AH220" s="316">
        <f t="shared" si="37"/>
        <v>150</v>
      </c>
      <c r="AI220" s="4"/>
      <c r="AQ220" s="2"/>
      <c r="AR220" s="2"/>
      <c r="AS220" s="2"/>
      <c r="AT220" s="2"/>
      <c r="AU220" s="2"/>
      <c r="AZ220" s="2"/>
      <c r="BA220" s="140" t="s">
        <v>459</v>
      </c>
      <c r="BB220" s="141">
        <v>7500</v>
      </c>
      <c r="BC220" s="197">
        <v>0</v>
      </c>
      <c r="BD220" s="197">
        <v>150</v>
      </c>
      <c r="BE220" s="197">
        <v>150</v>
      </c>
      <c r="BF220" s="197">
        <v>1200</v>
      </c>
      <c r="BG220" s="197">
        <v>500</v>
      </c>
      <c r="BH220" s="197">
        <v>325</v>
      </c>
      <c r="BI220" s="139">
        <f t="shared" ref="BI220:BI224" si="39">SUM(BB220:BH220)</f>
        <v>9825</v>
      </c>
      <c r="BJ220" s="2"/>
      <c r="BK220" s="2"/>
      <c r="BL220" s="2"/>
      <c r="BM220" s="2"/>
      <c r="BN220" s="2"/>
      <c r="BO220" s="2"/>
      <c r="BP220" s="2"/>
      <c r="BQ220" s="2"/>
      <c r="BT220" s="2"/>
      <c r="BU220" s="2"/>
      <c r="BV220" s="2"/>
      <c r="BW220" s="2"/>
      <c r="BX220" s="2"/>
      <c r="BY220" s="2"/>
      <c r="BZ220" s="2"/>
      <c r="CA220" s="2"/>
      <c r="CB220" s="2"/>
      <c r="CC220" s="2"/>
      <c r="CD220" s="2"/>
      <c r="CE220" s="2"/>
      <c r="CF220" s="2"/>
      <c r="CG220" s="2"/>
      <c r="CH220" s="2"/>
      <c r="CI220" s="2"/>
      <c r="CJ220" s="2"/>
      <c r="CK220" s="2"/>
    </row>
    <row r="221" spans="30:89" ht="12" customHeight="1" x14ac:dyDescent="0.2">
      <c r="AD221" s="435" t="s">
        <v>689</v>
      </c>
      <c r="AE221" s="49" t="s">
        <v>521</v>
      </c>
      <c r="AF221" s="187">
        <v>1</v>
      </c>
      <c r="AG221" s="479">
        <f>IF($G$18=0,0,150)</f>
        <v>150</v>
      </c>
      <c r="AH221" s="316">
        <f t="shared" si="37"/>
        <v>150</v>
      </c>
      <c r="AI221" s="4"/>
      <c r="AQ221" s="2"/>
      <c r="AR221" s="2"/>
      <c r="AS221" s="2"/>
      <c r="AT221" s="2"/>
      <c r="AU221" s="2"/>
      <c r="AZ221" s="2"/>
      <c r="BA221" s="140" t="s">
        <v>456</v>
      </c>
      <c r="BB221" s="141">
        <v>8000</v>
      </c>
      <c r="BC221" s="197">
        <v>0</v>
      </c>
      <c r="BD221" s="197">
        <v>150</v>
      </c>
      <c r="BE221" s="197">
        <v>150</v>
      </c>
      <c r="BF221" s="197">
        <v>1300</v>
      </c>
      <c r="BG221" s="197">
        <v>500</v>
      </c>
      <c r="BH221" s="197">
        <v>500</v>
      </c>
      <c r="BI221" s="139">
        <f t="shared" si="39"/>
        <v>10600</v>
      </c>
      <c r="BJ221" s="2"/>
      <c r="BK221" s="2"/>
      <c r="BL221" s="2"/>
      <c r="BM221" s="2"/>
      <c r="BN221" s="2"/>
      <c r="BO221" s="2"/>
      <c r="BP221" s="2"/>
      <c r="BQ221" s="2"/>
      <c r="BT221" s="2"/>
      <c r="BY221" s="2"/>
      <c r="BZ221" s="2"/>
      <c r="CA221" s="2"/>
      <c r="CB221" s="2"/>
      <c r="CC221" s="2"/>
      <c r="CD221" s="2"/>
      <c r="CE221" s="2"/>
      <c r="CF221" s="2"/>
      <c r="CG221" s="2"/>
      <c r="CH221" s="2"/>
      <c r="CI221" s="2"/>
      <c r="CJ221" s="2"/>
      <c r="CK221" s="2"/>
    </row>
    <row r="222" spans="30:89" ht="12" customHeight="1" x14ac:dyDescent="0.2">
      <c r="AD222" s="435" t="s">
        <v>690</v>
      </c>
      <c r="AE222" s="49" t="s">
        <v>691</v>
      </c>
      <c r="AF222" s="187">
        <v>1</v>
      </c>
      <c r="AG222" s="479">
        <f>IF($G$18=0,0,IF($G$18&lt;350,0,120))</f>
        <v>0</v>
      </c>
      <c r="AH222" s="316">
        <f t="shared" si="37"/>
        <v>0</v>
      </c>
      <c r="AI222" s="4"/>
      <c r="AQ222" s="2"/>
      <c r="AR222" s="2"/>
      <c r="AS222" s="2"/>
      <c r="AT222" s="2"/>
      <c r="AU222" s="2"/>
      <c r="AZ222" s="2"/>
      <c r="BA222" s="140" t="s">
        <v>457</v>
      </c>
      <c r="BB222" s="141">
        <v>8500</v>
      </c>
      <c r="BC222" s="197">
        <v>0</v>
      </c>
      <c r="BD222" s="197">
        <v>225</v>
      </c>
      <c r="BE222" s="197">
        <v>150</v>
      </c>
      <c r="BF222" s="197">
        <v>1400</v>
      </c>
      <c r="BG222" s="197">
        <v>500</v>
      </c>
      <c r="BH222" s="197">
        <v>800</v>
      </c>
      <c r="BI222" s="139">
        <f t="shared" si="39"/>
        <v>11575</v>
      </c>
      <c r="BJ222" s="2"/>
      <c r="BK222" s="2"/>
      <c r="BL222" s="2"/>
      <c r="BM222" s="2"/>
      <c r="BN222" s="2"/>
      <c r="BO222" s="2"/>
      <c r="BP222" s="2"/>
      <c r="BQ222" s="2"/>
      <c r="BT222" s="2"/>
      <c r="BU222" s="2"/>
      <c r="BV222" s="2"/>
      <c r="BW222" s="2"/>
      <c r="BX222" s="2"/>
      <c r="BY222" s="2"/>
      <c r="BZ222" s="2"/>
      <c r="CA222" s="2"/>
      <c r="CB222" s="2"/>
      <c r="CC222" s="2"/>
      <c r="CD222" s="2"/>
      <c r="CE222" s="2"/>
      <c r="CF222" s="2"/>
      <c r="CG222" s="2"/>
      <c r="CH222" s="2"/>
      <c r="CI222" s="2"/>
      <c r="CJ222" s="2"/>
      <c r="CK222" s="2"/>
    </row>
    <row r="223" spans="30:89" ht="12" customHeight="1" x14ac:dyDescent="0.2">
      <c r="AD223" s="435" t="s">
        <v>692</v>
      </c>
      <c r="AE223" s="49" t="s">
        <v>693</v>
      </c>
      <c r="AF223" s="187">
        <v>1</v>
      </c>
      <c r="AG223" s="230">
        <f>IF($G$18=0,0,IF($G$18&lt;=450,AK232,(IF($G$18&lt;=800,AK233,(IF($G$18&lt;=1200,AK234,(IF($G$18&lt;=1600,AK235,(IF($G$18&gt;1600,AK236))))))))))</f>
        <v>100</v>
      </c>
      <c r="AH223" s="316">
        <f t="shared" si="37"/>
        <v>100</v>
      </c>
      <c r="AI223" s="4"/>
      <c r="AQ223" s="2"/>
      <c r="AR223" s="2"/>
      <c r="AS223" s="2"/>
      <c r="AT223" s="2"/>
      <c r="AU223" s="2"/>
      <c r="AZ223" s="2"/>
      <c r="BA223" s="140" t="s">
        <v>108</v>
      </c>
      <c r="BB223" s="141">
        <v>10000</v>
      </c>
      <c r="BC223" s="197">
        <v>5000</v>
      </c>
      <c r="BD223" s="197">
        <v>300</v>
      </c>
      <c r="BE223" s="197">
        <v>150</v>
      </c>
      <c r="BF223" s="197">
        <v>1600</v>
      </c>
      <c r="BG223" s="197">
        <v>500</v>
      </c>
      <c r="BH223" s="197">
        <v>1000</v>
      </c>
      <c r="BI223" s="139">
        <f t="shared" si="39"/>
        <v>18550</v>
      </c>
      <c r="BJ223" s="2"/>
      <c r="BK223" s="2"/>
      <c r="BL223" s="2"/>
      <c r="BM223" s="2"/>
      <c r="BN223" s="2"/>
      <c r="BO223" s="2"/>
      <c r="BP223" s="2"/>
      <c r="BQ223" s="2"/>
      <c r="BT223" s="2"/>
      <c r="BU223" s="2"/>
      <c r="BV223" s="2"/>
      <c r="BW223" s="2"/>
      <c r="BX223" s="2"/>
      <c r="BY223" s="2"/>
      <c r="BZ223" s="2"/>
      <c r="CA223" s="2"/>
      <c r="CB223" s="2"/>
      <c r="CC223" s="2"/>
      <c r="CD223" s="2"/>
      <c r="CE223" s="2"/>
      <c r="CF223" s="2"/>
      <c r="CG223" s="2"/>
      <c r="CH223" s="2"/>
      <c r="CI223" s="2"/>
      <c r="CJ223" s="2"/>
      <c r="CK223" s="2"/>
    </row>
    <row r="224" spans="30:89" ht="12" customHeight="1" thickBot="1" x14ac:dyDescent="0.25">
      <c r="AD224" s="435" t="s">
        <v>694</v>
      </c>
      <c r="AE224" s="49" t="s">
        <v>695</v>
      </c>
      <c r="AF224" s="187">
        <v>1</v>
      </c>
      <c r="AG224" s="230">
        <f>IF($G$18=0,0,IF($G$18&lt;=450,AL232,(IF($G$18&lt;=800,AL233,(IF($G$18&lt;=1200,AL234,(IF($G$18&lt;=1600,AL235,(IF($G$18&gt;1600,AL236))))))))))</f>
        <v>200</v>
      </c>
      <c r="AH224" s="316">
        <f t="shared" si="37"/>
        <v>200</v>
      </c>
      <c r="AI224" s="4"/>
      <c r="AQ224" s="2"/>
      <c r="AR224" s="2"/>
      <c r="AS224" s="2"/>
      <c r="AT224" s="2"/>
      <c r="AU224" s="2"/>
      <c r="AZ224" s="2"/>
      <c r="BA224" s="142" t="s">
        <v>109</v>
      </c>
      <c r="BB224" s="143">
        <v>12000</v>
      </c>
      <c r="BC224" s="199">
        <v>6500</v>
      </c>
      <c r="BD224" s="199">
        <v>300</v>
      </c>
      <c r="BE224" s="199">
        <v>150</v>
      </c>
      <c r="BF224" s="199">
        <v>1800</v>
      </c>
      <c r="BG224" s="199">
        <v>500</v>
      </c>
      <c r="BH224" s="197">
        <v>1000</v>
      </c>
      <c r="BI224" s="139">
        <f t="shared" si="39"/>
        <v>22250</v>
      </c>
      <c r="BJ224" s="2"/>
      <c r="BK224" s="2"/>
      <c r="BL224" s="2"/>
      <c r="CA224" s="117"/>
      <c r="CB224" s="117"/>
      <c r="CC224" s="117"/>
      <c r="CD224" s="117"/>
      <c r="CE224" s="2"/>
      <c r="CF224" s="2"/>
      <c r="CG224" s="2"/>
      <c r="CH224" s="2"/>
      <c r="CI224" s="2"/>
      <c r="CJ224" s="2"/>
      <c r="CK224" s="2"/>
    </row>
    <row r="225" spans="26:84" ht="12" customHeight="1" thickBot="1" x14ac:dyDescent="0.25">
      <c r="Z225" s="483"/>
      <c r="AA225" s="439" t="s">
        <v>772</v>
      </c>
      <c r="AB225" s="449"/>
      <c r="AD225" s="435" t="s">
        <v>696</v>
      </c>
      <c r="AE225" s="49" t="s">
        <v>697</v>
      </c>
      <c r="AF225" s="187">
        <v>1</v>
      </c>
      <c r="AG225" s="230">
        <f>IF($G$18=0,0,IF($G$18&lt;350,0,IF($G$18&lt;=450,AM232,(IF($G$18&lt;=800,AM233,(IF($G$18&lt;=1200,AM234,(IF($G$18&lt;=1600,AM235,(IF($G$18&gt;1600,AM236)))))))))))</f>
        <v>0</v>
      </c>
      <c r="AH225" s="316">
        <f t="shared" si="37"/>
        <v>0</v>
      </c>
      <c r="AI225" s="3"/>
      <c r="AJ225" s="2"/>
      <c r="AK225" s="2"/>
      <c r="AL225" s="2"/>
      <c r="AM225" s="2"/>
      <c r="AN225" s="2"/>
      <c r="AO225" s="2"/>
      <c r="AP225" s="2"/>
      <c r="AQ225" s="2"/>
      <c r="AR225" s="2"/>
      <c r="AS225" s="2"/>
      <c r="AT225" s="2"/>
      <c r="AU225" s="2"/>
      <c r="AZ225" s="2"/>
      <c r="BA225" s="948" t="s">
        <v>110</v>
      </c>
      <c r="BB225" s="949"/>
      <c r="BC225" s="949"/>
      <c r="BD225" s="949"/>
      <c r="BE225" s="949"/>
      <c r="BF225" s="949"/>
      <c r="BG225" s="949"/>
      <c r="BH225" s="949"/>
      <c r="BI225" s="950"/>
      <c r="BJ225" s="2"/>
      <c r="BK225" s="2"/>
      <c r="BL225" s="2"/>
      <c r="CC225" s="117"/>
      <c r="CD225" s="117"/>
      <c r="CE225" s="18"/>
      <c r="CF225" s="18"/>
    </row>
    <row r="226" spans="26:84" ht="12" customHeight="1" x14ac:dyDescent="0.2">
      <c r="Z226" s="484" t="s">
        <v>763</v>
      </c>
      <c r="AA226" s="485" t="s">
        <v>773</v>
      </c>
      <c r="AB226" s="486" t="s">
        <v>765</v>
      </c>
      <c r="AD226" s="435" t="s">
        <v>698</v>
      </c>
      <c r="AE226" s="49" t="s">
        <v>699</v>
      </c>
      <c r="AF226" s="187">
        <v>1</v>
      </c>
      <c r="AG226" s="300">
        <f>IF($G$18=0,0,IF($G$18&lt;350,0,IF($G$18&lt;=450,AN232,(IF($G$18&lt;=800,AN233,(IF($G$18&lt;=1200,AN234,(IF($G$18&lt;=1600,AN235,(IF($G$18&gt;1600,AN236)))))))))))</f>
        <v>0</v>
      </c>
      <c r="AH226" s="316">
        <f t="shared" si="37"/>
        <v>0</v>
      </c>
      <c r="AI226" s="3"/>
      <c r="AJ226" s="2"/>
      <c r="AK226" s="2"/>
      <c r="AL226" s="2"/>
      <c r="AM226" s="2"/>
      <c r="AN226" s="2"/>
      <c r="AO226" s="2"/>
      <c r="AP226" s="2"/>
      <c r="AQ226" s="2"/>
      <c r="AR226" s="2"/>
      <c r="AS226" s="2"/>
      <c r="AT226" s="2"/>
      <c r="AU226" s="2"/>
      <c r="AZ226" s="2"/>
      <c r="BA226" s="2"/>
      <c r="BB226" s="2"/>
      <c r="BC226" s="2"/>
      <c r="BD226" s="2"/>
      <c r="BE226" s="2"/>
      <c r="BF226" s="2"/>
      <c r="BG226" s="2"/>
      <c r="BH226" s="2"/>
      <c r="BI226" s="2"/>
      <c r="BJ226" s="2"/>
      <c r="BK226" s="2"/>
      <c r="BL226" s="2"/>
      <c r="CC226" s="117"/>
      <c r="CD226" s="117"/>
      <c r="CE226" s="18"/>
      <c r="CF226" s="18"/>
    </row>
    <row r="227" spans="26:84" ht="12" customHeight="1" x14ac:dyDescent="0.2">
      <c r="Z227" s="487">
        <f>BX211</f>
        <v>0</v>
      </c>
      <c r="AA227" s="488">
        <f>BD215</f>
        <v>4000</v>
      </c>
      <c r="AB227" s="489">
        <f>AH228</f>
        <v>11800</v>
      </c>
      <c r="AD227" s="435"/>
      <c r="AE227" s="49"/>
      <c r="AF227" s="364"/>
      <c r="AG227" s="15"/>
      <c r="AH227" s="366"/>
      <c r="AI227" s="2"/>
      <c r="AJ227" s="2"/>
      <c r="AK227" s="2"/>
      <c r="AL227" s="2"/>
      <c r="AM227" s="2"/>
      <c r="AN227" s="2"/>
      <c r="AO227" s="2"/>
      <c r="AP227" s="2"/>
      <c r="AQ227" s="2"/>
      <c r="AR227" s="2"/>
      <c r="AS227" s="2"/>
      <c r="AT227" s="2"/>
      <c r="AU227" s="2"/>
      <c r="AZ227" s="2"/>
      <c r="BA227" s="2"/>
      <c r="BB227" s="2"/>
      <c r="BC227" s="2"/>
      <c r="BD227" s="2"/>
      <c r="BE227" s="2"/>
      <c r="BF227" s="2"/>
      <c r="BG227" s="2"/>
      <c r="BH227" s="2"/>
      <c r="BI227" s="2"/>
      <c r="BJ227" s="2"/>
      <c r="BK227" s="2"/>
      <c r="BL227" s="2"/>
      <c r="CC227" s="117"/>
      <c r="CD227" s="117"/>
      <c r="CE227" s="18"/>
      <c r="CF227" s="18"/>
    </row>
    <row r="228" spans="26:84" ht="12" customHeight="1" thickBot="1" x14ac:dyDescent="0.25">
      <c r="Z228" s="490"/>
      <c r="AA228" s="448">
        <f>SUM(Z227:AB227)</f>
        <v>15800</v>
      </c>
      <c r="AB228" s="449"/>
      <c r="AD228" s="379" t="s">
        <v>176</v>
      </c>
      <c r="AE228" s="347"/>
      <c r="AF228" s="367"/>
      <c r="AG228" s="8"/>
      <c r="AH228" s="322">
        <f>SUM(AH215:AH226)</f>
        <v>11800</v>
      </c>
      <c r="AS228" s="2"/>
      <c r="AT228" s="2"/>
      <c r="AU228" s="2"/>
      <c r="BG228" s="117"/>
      <c r="BH228" s="117"/>
      <c r="BI228" s="117"/>
      <c r="BJ228" s="117"/>
      <c r="BK228" s="2"/>
      <c r="BL228" s="2"/>
      <c r="CC228" s="117"/>
      <c r="CD228" s="117"/>
      <c r="CE228" s="18"/>
    </row>
    <row r="229" spans="26:84" ht="12" customHeight="1" thickBot="1" x14ac:dyDescent="0.25">
      <c r="AD229" s="2"/>
      <c r="AO229" s="2"/>
      <c r="AP229" s="2"/>
      <c r="AQ229" s="2"/>
      <c r="AR229" s="2"/>
      <c r="AS229" s="2"/>
      <c r="AT229" s="2"/>
      <c r="AU229" s="2"/>
      <c r="BI229" s="117"/>
      <c r="BJ229" s="117"/>
      <c r="BK229" s="18"/>
      <c r="BL229" s="18"/>
      <c r="CC229" s="117"/>
      <c r="CD229" s="117"/>
      <c r="CE229" s="18"/>
    </row>
    <row r="230" spans="26:84" ht="12" customHeight="1" thickBot="1" x14ac:dyDescent="0.25">
      <c r="AD230" s="2"/>
      <c r="AE230" s="987" t="s">
        <v>102</v>
      </c>
      <c r="AF230" s="988"/>
      <c r="AG230" s="988"/>
      <c r="AH230" s="988"/>
      <c r="AI230" s="988"/>
      <c r="AJ230" s="988"/>
      <c r="AK230" s="988"/>
      <c r="AL230" s="988"/>
      <c r="AM230" s="988"/>
      <c r="AN230" s="989"/>
      <c r="AO230" s="2"/>
      <c r="AP230" s="2"/>
      <c r="AQ230" s="2"/>
      <c r="AR230" s="2"/>
      <c r="AS230" s="2"/>
      <c r="AT230" s="2"/>
      <c r="AU230" s="2"/>
      <c r="BI230" s="117"/>
      <c r="BJ230" s="117"/>
      <c r="BK230" s="18"/>
      <c r="BL230" s="18"/>
      <c r="CC230" s="117"/>
      <c r="CD230" s="117"/>
      <c r="CE230" s="18"/>
    </row>
    <row r="231" spans="26:84" ht="12" customHeight="1" thickBot="1" x14ac:dyDescent="0.25">
      <c r="AD231" s="2"/>
      <c r="AE231" s="363" t="s">
        <v>103</v>
      </c>
      <c r="AF231" s="135" t="s">
        <v>177</v>
      </c>
      <c r="AG231" s="135" t="s">
        <v>178</v>
      </c>
      <c r="AH231" s="135" t="s">
        <v>515</v>
      </c>
      <c r="AI231" s="135" t="s">
        <v>516</v>
      </c>
      <c r="AJ231" s="135" t="s">
        <v>517</v>
      </c>
      <c r="AK231" s="135" t="s">
        <v>678</v>
      </c>
      <c r="AL231" s="135" t="s">
        <v>679</v>
      </c>
      <c r="AM231" s="135" t="s">
        <v>680</v>
      </c>
      <c r="AN231" s="135" t="s">
        <v>681</v>
      </c>
      <c r="AO231" s="2"/>
      <c r="AP231" s="2"/>
      <c r="AQ231" s="2"/>
      <c r="AR231" s="2"/>
      <c r="AS231" s="2"/>
      <c r="AT231" s="2"/>
      <c r="AU231" s="2"/>
      <c r="BI231" s="117"/>
      <c r="BJ231" s="117"/>
      <c r="BK231" s="18"/>
      <c r="BL231" s="18"/>
      <c r="CC231" s="117"/>
      <c r="CD231" s="117"/>
      <c r="CE231" s="18"/>
    </row>
    <row r="232" spans="26:84" ht="12" customHeight="1" x14ac:dyDescent="0.2">
      <c r="AD232" s="2"/>
      <c r="AE232" s="137" t="s">
        <v>458</v>
      </c>
      <c r="AF232" s="203">
        <v>9300</v>
      </c>
      <c r="AG232" s="203">
        <v>7000</v>
      </c>
      <c r="AH232" s="203">
        <v>1100</v>
      </c>
      <c r="AI232" s="203">
        <v>400</v>
      </c>
      <c r="AJ232" s="203">
        <v>400</v>
      </c>
      <c r="AK232" s="203">
        <v>100</v>
      </c>
      <c r="AL232" s="203">
        <v>200</v>
      </c>
      <c r="AM232" s="203">
        <v>750</v>
      </c>
      <c r="AN232" s="203">
        <v>1400</v>
      </c>
      <c r="AO232" s="2"/>
      <c r="AP232" s="2"/>
      <c r="AQ232" s="2"/>
      <c r="AR232" s="2"/>
      <c r="AS232" s="2"/>
      <c r="AT232" s="2"/>
      <c r="AU232" s="2"/>
      <c r="BI232" s="117"/>
      <c r="BJ232" s="117"/>
      <c r="BK232" s="18"/>
      <c r="CC232" s="117"/>
      <c r="CD232" s="117"/>
      <c r="CE232" s="18"/>
      <c r="CF232" s="18"/>
    </row>
    <row r="233" spans="26:84" ht="12" customHeight="1" x14ac:dyDescent="0.2">
      <c r="AD233" s="2"/>
      <c r="AE233" s="140" t="s">
        <v>569</v>
      </c>
      <c r="AF233" s="141">
        <v>10700</v>
      </c>
      <c r="AG233" s="141">
        <v>7000</v>
      </c>
      <c r="AH233" s="141">
        <v>1300</v>
      </c>
      <c r="AI233" s="141">
        <v>500</v>
      </c>
      <c r="AJ233" s="141">
        <v>600</v>
      </c>
      <c r="AK233" s="141">
        <v>200</v>
      </c>
      <c r="AL233" s="141">
        <v>300</v>
      </c>
      <c r="AM233" s="141">
        <v>1500</v>
      </c>
      <c r="AN233" s="141">
        <v>1400</v>
      </c>
      <c r="AO233" s="2"/>
      <c r="AP233" s="2"/>
      <c r="AQ233" s="2"/>
      <c r="AR233" s="2"/>
      <c r="AS233" s="2"/>
      <c r="AT233" s="2"/>
      <c r="AU233" s="2"/>
      <c r="BI233" s="117"/>
      <c r="BJ233" s="117"/>
      <c r="BK233" s="18"/>
      <c r="CC233" s="117"/>
      <c r="CD233" s="117"/>
      <c r="CE233" s="18"/>
      <c r="CF233" s="18"/>
    </row>
    <row r="234" spans="26:84" ht="12" customHeight="1" x14ac:dyDescent="0.2">
      <c r="AD234" s="2"/>
      <c r="AE234" s="140" t="s">
        <v>570</v>
      </c>
      <c r="AF234" s="141">
        <v>12400</v>
      </c>
      <c r="AG234" s="141">
        <v>7000</v>
      </c>
      <c r="AH234" s="141">
        <v>1400</v>
      </c>
      <c r="AI234" s="141">
        <v>600</v>
      </c>
      <c r="AJ234" s="141">
        <v>800</v>
      </c>
      <c r="AK234" s="141">
        <v>200</v>
      </c>
      <c r="AL234" s="141">
        <v>400</v>
      </c>
      <c r="AM234" s="141">
        <v>1500</v>
      </c>
      <c r="AN234" s="141">
        <v>1600</v>
      </c>
      <c r="AO234" s="2"/>
      <c r="AP234" s="2"/>
      <c r="AQ234" s="2"/>
      <c r="AR234" s="2"/>
      <c r="AS234" s="2"/>
      <c r="AT234" s="2"/>
      <c r="AU234" s="2"/>
      <c r="BI234" s="117"/>
      <c r="BJ234" s="117"/>
      <c r="BK234" s="18"/>
      <c r="CC234" s="117"/>
      <c r="CD234" s="117"/>
      <c r="CE234" s="18"/>
      <c r="CF234" s="18"/>
    </row>
    <row r="235" spans="26:84" ht="12" customHeight="1" x14ac:dyDescent="0.2">
      <c r="AD235" s="2"/>
      <c r="AE235" s="140" t="s">
        <v>571</v>
      </c>
      <c r="AF235" s="141">
        <v>14000</v>
      </c>
      <c r="AG235" s="141">
        <v>7000</v>
      </c>
      <c r="AH235" s="141">
        <v>1700</v>
      </c>
      <c r="AI235" s="141">
        <v>700</v>
      </c>
      <c r="AJ235" s="141">
        <v>1000</v>
      </c>
      <c r="AK235" s="141">
        <v>200</v>
      </c>
      <c r="AL235" s="141">
        <v>500</v>
      </c>
      <c r="AM235" s="141">
        <v>2000</v>
      </c>
      <c r="AN235" s="141">
        <v>1800</v>
      </c>
      <c r="AO235" s="2"/>
      <c r="AP235" s="2"/>
      <c r="AQ235" s="2"/>
      <c r="AR235" s="2"/>
      <c r="BI235" s="117"/>
      <c r="BJ235" s="117"/>
      <c r="BK235" s="18"/>
      <c r="CC235" s="76"/>
      <c r="CD235" s="76"/>
      <c r="CE235" s="18"/>
      <c r="CF235" s="18"/>
    </row>
    <row r="236" spans="26:84" ht="12" customHeight="1" thickBot="1" x14ac:dyDescent="0.25">
      <c r="AD236" s="2"/>
      <c r="AE236" s="494" t="s">
        <v>575</v>
      </c>
      <c r="AF236" s="495">
        <v>17400</v>
      </c>
      <c r="AG236" s="495">
        <v>7000</v>
      </c>
      <c r="AH236" s="495">
        <v>7100</v>
      </c>
      <c r="AI236" s="495">
        <v>800</v>
      </c>
      <c r="AJ236" s="495">
        <v>1200</v>
      </c>
      <c r="AK236" s="495">
        <v>200</v>
      </c>
      <c r="AL236" s="495">
        <v>600</v>
      </c>
      <c r="AM236" s="495">
        <v>3000</v>
      </c>
      <c r="AN236" s="495">
        <v>2000</v>
      </c>
      <c r="AO236" s="2"/>
      <c r="AP236" s="2"/>
      <c r="AQ236" s="2"/>
      <c r="AR236" s="2"/>
      <c r="BI236" s="117"/>
      <c r="BJ236" s="117"/>
      <c r="BK236" s="18"/>
      <c r="BL236" s="18"/>
      <c r="CC236" s="122"/>
      <c r="CD236" s="122"/>
      <c r="CE236" s="18"/>
      <c r="CF236" s="18"/>
    </row>
    <row r="237" spans="26:84" ht="12" customHeight="1" thickBot="1" x14ac:dyDescent="0.25">
      <c r="AD237" s="2"/>
      <c r="AE237" s="990" t="s">
        <v>110</v>
      </c>
      <c r="AF237" s="991"/>
      <c r="AG237" s="991"/>
      <c r="AH237" s="991"/>
      <c r="AI237" s="991"/>
      <c r="AJ237" s="991"/>
      <c r="AK237" s="991"/>
      <c r="AL237" s="991"/>
      <c r="AM237" s="991"/>
      <c r="AN237" s="992"/>
      <c r="AO237" s="2"/>
      <c r="AP237" s="2"/>
      <c r="AQ237" s="2"/>
      <c r="AR237" s="2"/>
      <c r="BI237" s="117"/>
      <c r="BJ237" s="117"/>
      <c r="BK237" s="18"/>
      <c r="BL237" s="18"/>
      <c r="CC237" s="122"/>
      <c r="CD237" s="122"/>
      <c r="CE237" s="18"/>
      <c r="CF237" s="18"/>
    </row>
    <row r="238" spans="26:84" ht="12" customHeight="1" x14ac:dyDescent="0.2">
      <c r="AD238" s="2"/>
      <c r="AE238" s="2"/>
      <c r="AF238" s="2"/>
      <c r="AG238" s="2"/>
      <c r="AH238" s="2"/>
      <c r="AI238" s="2"/>
      <c r="AJ238" s="2"/>
      <c r="AK238" s="2"/>
      <c r="AL238" s="2"/>
      <c r="AM238" s="2"/>
      <c r="AN238" s="2"/>
      <c r="AO238" s="2"/>
      <c r="AP238" s="2"/>
      <c r="AQ238" s="2"/>
      <c r="AR238" s="2"/>
      <c r="BI238" s="117"/>
      <c r="BJ238" s="117"/>
      <c r="BK238" s="18"/>
      <c r="BL238" s="18"/>
      <c r="CC238" s="122"/>
      <c r="CD238" s="122"/>
      <c r="CE238" s="18"/>
      <c r="CF238" s="18"/>
    </row>
    <row r="239" spans="26:84" ht="12" customHeight="1" thickBot="1" x14ac:dyDescent="0.25">
      <c r="AK239" s="117"/>
      <c r="AL239" s="117"/>
      <c r="AM239" s="117"/>
      <c r="AN239" s="117"/>
      <c r="AO239" s="2"/>
      <c r="AP239" s="2"/>
      <c r="AQ239" s="2"/>
      <c r="AR239" s="2"/>
      <c r="BI239" s="76"/>
      <c r="BJ239" s="76"/>
      <c r="BK239" s="18"/>
      <c r="BL239" s="18"/>
      <c r="CC239" s="122"/>
      <c r="CD239" s="122"/>
      <c r="CE239" s="18"/>
      <c r="CF239" s="18"/>
    </row>
    <row r="240" spans="26:84" ht="12" customHeight="1" x14ac:dyDescent="0.2">
      <c r="AD240" s="1000" t="s">
        <v>836</v>
      </c>
      <c r="AE240" s="1001"/>
      <c r="AF240" s="1001"/>
      <c r="AG240" s="1001"/>
      <c r="AH240" s="1002"/>
      <c r="AI240" s="117"/>
      <c r="AJ240" s="117"/>
      <c r="AK240" s="117"/>
      <c r="AL240" s="117"/>
      <c r="AM240" s="117"/>
      <c r="AN240" s="117"/>
      <c r="AO240" s="2"/>
      <c r="AP240" s="2"/>
      <c r="AQ240" s="2"/>
      <c r="AR240" s="2"/>
      <c r="BI240" s="122"/>
      <c r="BJ240" s="122"/>
      <c r="BK240" s="18"/>
      <c r="BL240" s="18"/>
      <c r="CC240" s="122"/>
      <c r="CD240" s="122"/>
      <c r="CE240" s="18"/>
      <c r="CF240" s="18"/>
    </row>
    <row r="241" spans="26:84" ht="12" customHeight="1" thickBot="1" x14ac:dyDescent="0.25">
      <c r="AD241" s="1003"/>
      <c r="AE241" s="1004"/>
      <c r="AF241" s="1004"/>
      <c r="AG241" s="1004"/>
      <c r="AH241" s="1005"/>
      <c r="AI241" s="117"/>
      <c r="AJ241" s="117"/>
      <c r="AK241" s="117"/>
      <c r="AL241" s="117"/>
      <c r="AM241" s="117"/>
      <c r="AN241" s="117"/>
      <c r="AO241" s="18"/>
      <c r="AP241" s="18"/>
      <c r="BI241" s="122"/>
      <c r="BJ241" s="122"/>
      <c r="BK241" s="18"/>
      <c r="BL241" s="18"/>
      <c r="CC241" s="122"/>
      <c r="CD241" s="122"/>
      <c r="CE241" s="18"/>
      <c r="CF241" s="18"/>
    </row>
    <row r="242" spans="26:84" ht="12" customHeight="1" x14ac:dyDescent="0.2">
      <c r="AD242" s="310"/>
      <c r="AE242" s="96"/>
      <c r="AF242" s="473" t="s">
        <v>33</v>
      </c>
      <c r="AG242" s="474"/>
      <c r="AH242" s="311"/>
      <c r="AI242" s="117"/>
      <c r="AJ242" s="117"/>
      <c r="AK242" s="117"/>
      <c r="AL242" s="117"/>
      <c r="AM242" s="117"/>
      <c r="AN242" s="117"/>
      <c r="AO242" s="18"/>
      <c r="AP242" s="18"/>
      <c r="BI242" s="122"/>
      <c r="BJ242" s="122"/>
      <c r="BK242" s="18"/>
      <c r="BL242" s="18"/>
      <c r="CC242" s="117"/>
      <c r="CD242" s="117"/>
      <c r="CE242" s="117"/>
      <c r="CF242" s="117"/>
    </row>
    <row r="243" spans="26:84" ht="12" customHeight="1" thickBot="1" x14ac:dyDescent="0.25">
      <c r="AD243" s="312" t="s">
        <v>121</v>
      </c>
      <c r="AE243" s="99"/>
      <c r="AF243" s="100" t="s">
        <v>122</v>
      </c>
      <c r="AG243" s="100" t="s">
        <v>38</v>
      </c>
      <c r="AH243" s="313" t="s">
        <v>123</v>
      </c>
      <c r="AI243" s="117"/>
      <c r="AJ243" s="117"/>
      <c r="AK243" s="117"/>
      <c r="AL243" s="117"/>
      <c r="AM243" s="117"/>
      <c r="AN243" s="117"/>
      <c r="AO243" s="18"/>
      <c r="BI243" s="122"/>
      <c r="BJ243" s="122"/>
      <c r="BK243" s="18"/>
      <c r="BL243" s="18"/>
      <c r="CC243" s="117"/>
      <c r="CD243" s="117"/>
      <c r="CE243" s="117"/>
      <c r="CF243" s="117"/>
    </row>
    <row r="244" spans="26:84" ht="12" customHeight="1" x14ac:dyDescent="0.2">
      <c r="AD244" s="404" t="s">
        <v>832</v>
      </c>
      <c r="AE244" s="416" t="s">
        <v>350</v>
      </c>
      <c r="AF244" s="284">
        <v>1</v>
      </c>
      <c r="AG244" s="230">
        <f>IF($G$19=0,0,($G$19/3)*17.5)</f>
        <v>3791.6666666666665</v>
      </c>
      <c r="AH244" s="315">
        <f>AF244*AG244</f>
        <v>3791.6666666666665</v>
      </c>
      <c r="AI244" s="491" t="s">
        <v>41</v>
      </c>
      <c r="AJ244" s="117"/>
      <c r="AK244" s="117"/>
      <c r="AL244" s="117"/>
      <c r="AM244" s="117"/>
      <c r="AN244" s="117"/>
      <c r="AO244" s="18"/>
      <c r="BI244" s="122"/>
      <c r="BJ244" s="122"/>
      <c r="BK244" s="18"/>
      <c r="BL244" s="18"/>
      <c r="CC244" s="117"/>
      <c r="CD244" s="117"/>
      <c r="CE244" s="117"/>
      <c r="CF244" s="117"/>
    </row>
    <row r="245" spans="26:84" ht="12" customHeight="1" x14ac:dyDescent="0.2">
      <c r="AD245" s="404" t="s">
        <v>833</v>
      </c>
      <c r="AE245" s="416" t="s">
        <v>352</v>
      </c>
      <c r="AF245" s="187">
        <v>1</v>
      </c>
      <c r="AG245" s="479">
        <f>IF($G$19=0,0,IF($G$19&lt;=450,AF264,(IF($G$19&lt;=800,AF265,(IF($G$19&lt;=1200,AF266,(IF($G$19&lt;=1600,AF267,(IF($G$19&gt;1600,AF268))))))))))</f>
        <v>1000</v>
      </c>
      <c r="AH245" s="315">
        <f>AF245*AG245</f>
        <v>1000</v>
      </c>
      <c r="AI245" s="500"/>
      <c r="AJ245" s="117"/>
      <c r="AK245" s="117"/>
      <c r="AL245" s="117"/>
      <c r="AM245" s="117"/>
      <c r="AN245" s="117"/>
      <c r="AO245" s="18"/>
      <c r="BI245" s="122"/>
      <c r="BJ245" s="122"/>
      <c r="BK245" s="18"/>
      <c r="BL245" s="18"/>
      <c r="CC245" s="117"/>
      <c r="CD245" s="117"/>
      <c r="CE245" s="117"/>
      <c r="CF245" s="117"/>
    </row>
    <row r="246" spans="26:84" ht="12" customHeight="1" x14ac:dyDescent="0.2">
      <c r="AD246" s="404" t="s">
        <v>703</v>
      </c>
      <c r="AE246" s="49" t="s">
        <v>704</v>
      </c>
      <c r="AF246" s="187">
        <v>1</v>
      </c>
      <c r="AG246" s="230">
        <f>IF($G$18=0,0,IF($G$18&lt;350,350,IF($G$18&lt;=450,AG264,(IF($G$18&lt;=800,AG265,(IF($G$18&lt;=1200,AG266,(IF($G$18&lt;=1600,AG267,(IF($G$18&gt;1600,AG268)))))))))))</f>
        <v>350</v>
      </c>
      <c r="AH246" s="315">
        <f t="shared" ref="AH246:AH252" si="40">AF246*AG246</f>
        <v>350</v>
      </c>
      <c r="AI246" s="491"/>
      <c r="AJ246" s="117"/>
      <c r="AK246" s="117"/>
      <c r="AL246" s="117"/>
      <c r="AM246" s="117"/>
      <c r="AN246" s="117"/>
      <c r="AO246" s="18"/>
      <c r="BI246" s="117"/>
      <c r="BJ246" s="117"/>
      <c r="BK246" s="117"/>
      <c r="BL246" s="117"/>
      <c r="CC246" s="117"/>
      <c r="CD246" s="117"/>
      <c r="CE246" s="117"/>
      <c r="CF246" s="117"/>
    </row>
    <row r="247" spans="26:84" ht="12" customHeight="1" x14ac:dyDescent="0.2">
      <c r="AD247" s="404" t="s">
        <v>705</v>
      </c>
      <c r="AE247" s="49" t="s">
        <v>706</v>
      </c>
      <c r="AF247" s="187">
        <v>1</v>
      </c>
      <c r="AG247" s="230">
        <f>IF($G$18=0,0,IF($G$18&lt;=450,AH264,(IF($G$18&lt;=800,AH265,(IF($G$18&lt;=1200,AH266,(IF($G$18&lt;=1600,AH267,(IF($G$18&gt;1600,AH268))))))))))</f>
        <v>400</v>
      </c>
      <c r="AH247" s="315">
        <f t="shared" si="40"/>
        <v>400</v>
      </c>
      <c r="AI247" s="491"/>
      <c r="AJ247" s="117"/>
      <c r="AK247" s="117"/>
      <c r="AL247" s="117"/>
      <c r="AM247" s="117"/>
      <c r="AN247" s="117"/>
      <c r="AO247" s="18"/>
      <c r="AP247" s="18"/>
      <c r="BI247" s="117"/>
      <c r="BJ247" s="117"/>
      <c r="BK247" s="117"/>
      <c r="BL247" s="117"/>
      <c r="CC247" s="122"/>
      <c r="CD247" s="122"/>
      <c r="CE247" s="117"/>
      <c r="CF247" s="117"/>
    </row>
    <row r="248" spans="26:84" ht="12" customHeight="1" x14ac:dyDescent="0.2">
      <c r="AD248" s="404" t="s">
        <v>707</v>
      </c>
      <c r="AE248" s="49" t="s">
        <v>708</v>
      </c>
      <c r="AF248" s="187">
        <v>1</v>
      </c>
      <c r="AG248" s="230">
        <f>IF($G$18=0,0,IF($G$18&lt;350,150))</f>
        <v>150</v>
      </c>
      <c r="AH248" s="315">
        <f t="shared" si="40"/>
        <v>150</v>
      </c>
      <c r="AI248" s="503"/>
      <c r="AJ248" s="117"/>
      <c r="AK248" s="117"/>
      <c r="AL248" s="117"/>
      <c r="AM248" s="117"/>
      <c r="AN248" s="117"/>
      <c r="AO248" s="18"/>
      <c r="AP248" s="18"/>
      <c r="BI248" s="117"/>
      <c r="BJ248" s="117"/>
      <c r="BK248" s="117"/>
      <c r="BL248" s="117"/>
      <c r="CC248" s="122"/>
      <c r="CD248" s="122"/>
      <c r="CE248" s="117"/>
      <c r="CF248" s="117"/>
    </row>
    <row r="249" spans="26:84" ht="12" customHeight="1" x14ac:dyDescent="0.2">
      <c r="AD249" s="404" t="s">
        <v>709</v>
      </c>
      <c r="AE249" s="49" t="s">
        <v>710</v>
      </c>
      <c r="AF249" s="187">
        <v>1</v>
      </c>
      <c r="AG249" s="230">
        <f>IF($G$18=0,0,IF($G$18&lt;350,150,IF($G$18&lt;=450,AJ264,(IF($G$18&lt;=800,AJ265,(IF($G$18&lt;=1200,AJ266,(IF($G$18&lt;=1600,AJ267,(IF($G$18&gt;1600,AJ268)))))))))))</f>
        <v>150</v>
      </c>
      <c r="AH249" s="315">
        <f t="shared" si="40"/>
        <v>150</v>
      </c>
      <c r="AI249" s="4"/>
      <c r="AK249" s="117"/>
      <c r="AL249" s="117"/>
      <c r="AM249" s="117"/>
      <c r="AN249" s="117"/>
      <c r="AO249" s="18"/>
      <c r="AP249" s="18"/>
      <c r="BI249" s="117"/>
      <c r="BJ249" s="117"/>
      <c r="BK249" s="117"/>
      <c r="BL249" s="117"/>
      <c r="CC249" s="122"/>
      <c r="CD249" s="122"/>
      <c r="CE249" s="117"/>
      <c r="CF249" s="117"/>
    </row>
    <row r="250" spans="26:84" ht="12" customHeight="1" x14ac:dyDescent="0.2">
      <c r="AD250" s="404" t="s">
        <v>834</v>
      </c>
      <c r="AE250" s="49" t="s">
        <v>354</v>
      </c>
      <c r="AF250" s="187">
        <v>1</v>
      </c>
      <c r="AG250" s="230">
        <f>IF($G$18=0,0,IF($G$18&lt;350,0,IF($G$18&lt;=450,AK264,(IF($G$18&lt;=800,AK265,(IF($G$18&lt;=1200,AK266,(IF($G$18&lt;=1600,AK267,(IF($G$18&gt;1600,AK268)))))))))))</f>
        <v>0</v>
      </c>
      <c r="AH250" s="315">
        <f t="shared" si="40"/>
        <v>0</v>
      </c>
      <c r="AI250" s="4"/>
      <c r="AK250" s="76"/>
      <c r="AL250" s="76"/>
      <c r="AM250" s="76"/>
      <c r="AN250" s="76"/>
      <c r="AO250" s="18"/>
      <c r="AP250" s="18"/>
      <c r="BI250" s="117"/>
      <c r="BJ250" s="117"/>
      <c r="BK250" s="117"/>
      <c r="BL250" s="117"/>
      <c r="CC250" s="18"/>
      <c r="CD250" s="18"/>
      <c r="CE250" s="117"/>
      <c r="CF250" s="117"/>
    </row>
    <row r="251" spans="26:84" ht="12" customHeight="1" x14ac:dyDescent="0.2">
      <c r="Z251" s="483"/>
      <c r="AA251" s="439" t="s">
        <v>774</v>
      </c>
      <c r="AB251" s="449"/>
      <c r="AD251" s="404" t="s">
        <v>835</v>
      </c>
      <c r="AE251" s="49" t="s">
        <v>713</v>
      </c>
      <c r="AF251" s="187">
        <v>1</v>
      </c>
      <c r="AG251" s="230">
        <f>IF($G$19=0,0,IF($G$19&lt;=450,AL264,(IF($G$19&lt;=800,AL265,(IF($G$19&lt;=1200,AL266,(IF($G$19&lt;=1600,AL267,(IF($G$19&gt;1600,AL268))))))))))</f>
        <v>400</v>
      </c>
      <c r="AH251" s="315">
        <f t="shared" si="40"/>
        <v>400</v>
      </c>
      <c r="AI251" s="4"/>
      <c r="AK251" s="122"/>
      <c r="AL251" s="122"/>
      <c r="AM251" s="122"/>
      <c r="AN251" s="122"/>
      <c r="AO251" s="18"/>
      <c r="AP251" s="18"/>
      <c r="BI251" s="122"/>
      <c r="BJ251" s="122"/>
      <c r="BK251" s="117"/>
      <c r="BL251" s="117"/>
    </row>
    <row r="252" spans="26:84" ht="12" customHeight="1" x14ac:dyDescent="0.2">
      <c r="Z252" s="484"/>
      <c r="AA252" s="485"/>
      <c r="AB252" s="486"/>
      <c r="AD252" s="404" t="s">
        <v>714</v>
      </c>
      <c r="AE252" s="49" t="s">
        <v>358</v>
      </c>
      <c r="AF252" s="354">
        <v>1</v>
      </c>
      <c r="AG252" s="300">
        <f>IF($G$18=0,0,80)</f>
        <v>80</v>
      </c>
      <c r="AH252" s="349">
        <f t="shared" si="40"/>
        <v>80</v>
      </c>
      <c r="AI252" s="4"/>
      <c r="AK252" s="122"/>
      <c r="AL252" s="122"/>
      <c r="AM252" s="122"/>
      <c r="AN252" s="122"/>
      <c r="AO252" s="18"/>
      <c r="AP252" s="18"/>
      <c r="BI252" s="122"/>
      <c r="BJ252" s="122"/>
      <c r="BK252" s="117"/>
      <c r="BL252" s="117"/>
    </row>
    <row r="253" spans="26:84" ht="12" customHeight="1" x14ac:dyDescent="0.2">
      <c r="Z253" s="487"/>
      <c r="AA253" s="488"/>
      <c r="AB253" s="489"/>
      <c r="AD253" s="404"/>
      <c r="AE253" s="49"/>
      <c r="AF253" s="323"/>
      <c r="AG253" s="80"/>
      <c r="AH253" s="318"/>
      <c r="AI253" s="117"/>
      <c r="AJ253" s="117"/>
      <c r="AK253" s="122"/>
      <c r="AL253" s="122"/>
      <c r="AM253" s="122"/>
      <c r="AN253" s="122"/>
      <c r="AO253" s="18"/>
      <c r="AP253" s="18"/>
      <c r="BI253" s="122"/>
      <c r="BJ253" s="122"/>
      <c r="BK253" s="117"/>
      <c r="BL253" s="117"/>
    </row>
    <row r="254" spans="26:84" ht="12" customHeight="1" thickBot="1" x14ac:dyDescent="0.25">
      <c r="Z254" s="490"/>
      <c r="AA254" s="448">
        <f>AH254</f>
        <v>6321.6666666666661</v>
      </c>
      <c r="AB254" s="449"/>
      <c r="AD254" s="319" t="s">
        <v>359</v>
      </c>
      <c r="AE254" s="347"/>
      <c r="AF254" s="356"/>
      <c r="AG254" s="321"/>
      <c r="AH254" s="322">
        <f>SUM(AH244:AH252)</f>
        <v>6321.6666666666661</v>
      </c>
      <c r="AI254" s="117"/>
      <c r="AJ254" s="117"/>
      <c r="AK254" s="122"/>
      <c r="AL254" s="122"/>
      <c r="AM254" s="122"/>
      <c r="AN254" s="122"/>
      <c r="AO254" s="18"/>
      <c r="AP254" s="18"/>
      <c r="BI254" s="18"/>
      <c r="BJ254" s="18"/>
      <c r="BK254" s="117"/>
      <c r="BL254" s="117"/>
    </row>
    <row r="255" spans="26:84" ht="12" customHeight="1" thickBot="1" x14ac:dyDescent="0.25">
      <c r="AD255" s="51"/>
      <c r="AE255" s="51"/>
      <c r="AF255" s="76"/>
      <c r="AG255" s="76"/>
      <c r="AH255" s="76"/>
      <c r="AI255" s="76"/>
      <c r="AJ255" s="76"/>
      <c r="AK255" s="122"/>
      <c r="AL255" s="122"/>
      <c r="AM255" s="122"/>
      <c r="AN255" s="122"/>
      <c r="AO255" s="18"/>
      <c r="AP255" s="18"/>
    </row>
    <row r="256" spans="26:84" ht="12" customHeight="1" thickBot="1" x14ac:dyDescent="0.25">
      <c r="AD256" s="945" t="s">
        <v>360</v>
      </c>
      <c r="AE256" s="946"/>
      <c r="AF256" s="946"/>
      <c r="AG256" s="946"/>
      <c r="AH256" s="946"/>
      <c r="AI256" s="946"/>
      <c r="AJ256" s="947"/>
      <c r="AK256" s="122"/>
      <c r="AL256" s="122"/>
      <c r="AM256" s="122"/>
      <c r="AN256" s="122"/>
      <c r="AO256" s="18"/>
      <c r="AP256" s="18"/>
    </row>
    <row r="257" spans="30:89" ht="12" customHeight="1" thickBot="1" x14ac:dyDescent="0.25">
      <c r="AD257" s="149" t="s">
        <v>23</v>
      </c>
      <c r="AE257" s="150" t="s">
        <v>24</v>
      </c>
      <c r="AF257" s="151"/>
      <c r="AG257" s="151"/>
      <c r="AH257" s="151"/>
      <c r="AI257" s="151"/>
      <c r="AJ257" s="152"/>
      <c r="AK257" s="117"/>
      <c r="AL257" s="117"/>
      <c r="AM257" s="117"/>
      <c r="AN257" s="117"/>
      <c r="AO257" s="117"/>
      <c r="AP257" s="117"/>
    </row>
    <row r="258" spans="30:89" ht="12" customHeight="1" x14ac:dyDescent="0.2">
      <c r="AD258" s="68">
        <v>1</v>
      </c>
      <c r="AE258" s="153" t="s">
        <v>361</v>
      </c>
      <c r="AF258" s="154"/>
      <c r="AG258" s="154"/>
      <c r="AH258" s="154"/>
      <c r="AI258" s="154"/>
      <c r="AJ258" s="155"/>
      <c r="AK258" s="117"/>
      <c r="AL258" s="117"/>
      <c r="AM258" s="117"/>
      <c r="AN258" s="117"/>
      <c r="AO258" s="117"/>
      <c r="AP258" s="117"/>
    </row>
    <row r="259" spans="30:89" ht="12" customHeight="1" thickBot="1" x14ac:dyDescent="0.25">
      <c r="AD259" s="71"/>
      <c r="AE259" s="164" t="s">
        <v>700</v>
      </c>
      <c r="AF259" s="170"/>
      <c r="AG259" s="170"/>
      <c r="AH259" s="170"/>
      <c r="AI259" s="170"/>
      <c r="AJ259" s="171"/>
      <c r="AK259" s="117"/>
      <c r="AL259" s="117"/>
      <c r="AM259" s="117"/>
      <c r="AN259" s="117"/>
      <c r="AO259" s="117"/>
      <c r="AP259" s="117"/>
    </row>
    <row r="260" spans="30:89" ht="12" customHeight="1" x14ac:dyDescent="0.2">
      <c r="AD260" s="117"/>
      <c r="AE260" s="122"/>
      <c r="AF260" s="122"/>
      <c r="AG260" s="122"/>
      <c r="AH260" s="117"/>
      <c r="AI260" s="117"/>
      <c r="AJ260" s="117"/>
      <c r="AK260" s="117"/>
      <c r="AL260" s="117"/>
      <c r="AM260" s="117"/>
      <c r="AN260" s="117"/>
      <c r="AO260" s="117"/>
      <c r="AP260" s="117"/>
    </row>
    <row r="261" spans="30:89" ht="12" customHeight="1" thickBot="1" x14ac:dyDescent="0.25">
      <c r="AD261" s="117"/>
      <c r="AE261" s="122"/>
      <c r="AF261" s="122"/>
      <c r="AG261" s="122"/>
      <c r="AH261" s="117"/>
      <c r="AI261" s="117"/>
      <c r="AJ261" s="117"/>
      <c r="AK261" s="117"/>
      <c r="AL261" s="117"/>
      <c r="AM261" s="117"/>
      <c r="AN261" s="117"/>
      <c r="AO261" s="117"/>
      <c r="AP261" s="117"/>
    </row>
    <row r="262" spans="30:89" ht="12" customHeight="1" thickBot="1" x14ac:dyDescent="0.25">
      <c r="AD262" s="117"/>
      <c r="AE262" s="987" t="s">
        <v>102</v>
      </c>
      <c r="AF262" s="988"/>
      <c r="AG262" s="988"/>
      <c r="AH262" s="988"/>
      <c r="AI262" s="988"/>
      <c r="AJ262" s="988"/>
      <c r="AK262" s="988"/>
      <c r="AL262" s="988"/>
      <c r="AM262" s="988"/>
      <c r="AN262" s="989"/>
      <c r="AO262" s="117"/>
      <c r="AP262" s="117"/>
    </row>
    <row r="263" spans="30:89" ht="12" customHeight="1" thickBot="1" x14ac:dyDescent="0.25">
      <c r="AD263" s="117"/>
      <c r="AE263" s="369" t="s">
        <v>103</v>
      </c>
      <c r="AF263" s="135" t="s">
        <v>364</v>
      </c>
      <c r="AG263" s="135" t="s">
        <v>365</v>
      </c>
      <c r="AH263" s="135" t="s">
        <v>366</v>
      </c>
      <c r="AI263" s="135" t="s">
        <v>367</v>
      </c>
      <c r="AJ263" s="135" t="s">
        <v>715</v>
      </c>
      <c r="AK263" s="135" t="s">
        <v>716</v>
      </c>
      <c r="AL263" s="135" t="s">
        <v>717</v>
      </c>
      <c r="AM263" s="135" t="s">
        <v>718</v>
      </c>
      <c r="AN263" s="370" t="s">
        <v>179</v>
      </c>
      <c r="AO263" s="117"/>
      <c r="AP263" s="117"/>
      <c r="BM263" s="2"/>
      <c r="BN263" s="2"/>
      <c r="BO263" s="2"/>
      <c r="BP263" s="2"/>
      <c r="BQ263" s="2"/>
    </row>
    <row r="264" spans="30:89" ht="12" customHeight="1" x14ac:dyDescent="0.2">
      <c r="AD264" s="368">
        <v>3000</v>
      </c>
      <c r="AE264" s="302" t="s">
        <v>458</v>
      </c>
      <c r="AF264" s="203">
        <v>900</v>
      </c>
      <c r="AG264" s="204">
        <v>400</v>
      </c>
      <c r="AH264" s="501">
        <v>400</v>
      </c>
      <c r="AI264" s="501">
        <v>0</v>
      </c>
      <c r="AJ264" s="501">
        <v>200</v>
      </c>
      <c r="AK264" s="204">
        <v>250</v>
      </c>
      <c r="AL264" s="204">
        <v>300</v>
      </c>
      <c r="AM264" s="501">
        <v>80</v>
      </c>
      <c r="AN264" s="371">
        <f>SUM(AF264:AM264)+AD264</f>
        <v>5530</v>
      </c>
      <c r="AO264" s="117"/>
      <c r="AP264" s="117"/>
      <c r="BM264" s="2"/>
      <c r="BN264" s="2"/>
      <c r="BO264" s="2"/>
      <c r="BP264" s="2"/>
      <c r="BQ264" s="2"/>
      <c r="CB264" s="2"/>
      <c r="CC264" s="2"/>
      <c r="CD264" s="2"/>
      <c r="CE264" s="117"/>
      <c r="CF264" s="2"/>
      <c r="CG264" s="2"/>
      <c r="CH264" s="2"/>
      <c r="CI264" s="2"/>
      <c r="CJ264" s="2"/>
      <c r="CK264" s="2"/>
    </row>
    <row r="265" spans="30:89" ht="12" customHeight="1" x14ac:dyDescent="0.2">
      <c r="AD265" s="368">
        <v>4667</v>
      </c>
      <c r="AE265" s="303" t="s">
        <v>569</v>
      </c>
      <c r="AF265" s="141">
        <v>1000</v>
      </c>
      <c r="AG265" s="197">
        <v>450</v>
      </c>
      <c r="AH265" s="502">
        <v>500</v>
      </c>
      <c r="AI265" s="502">
        <v>200</v>
      </c>
      <c r="AJ265" s="502">
        <v>400</v>
      </c>
      <c r="AK265" s="197">
        <v>400</v>
      </c>
      <c r="AL265" s="197">
        <v>400</v>
      </c>
      <c r="AM265" s="502">
        <v>80</v>
      </c>
      <c r="AN265" s="371">
        <f t="shared" ref="AN265:AN268" si="41">SUM(AF265:AM265)+AD265</f>
        <v>8097</v>
      </c>
      <c r="AO265" s="117"/>
      <c r="AP265" s="117"/>
      <c r="BM265" s="2"/>
      <c r="BN265" s="2"/>
      <c r="BO265" s="2"/>
      <c r="BP265" s="2"/>
      <c r="BQ265" s="2"/>
      <c r="CB265" s="2"/>
      <c r="CC265" s="2"/>
      <c r="CD265" s="2"/>
      <c r="CE265" s="117"/>
      <c r="CF265" s="2"/>
      <c r="CG265" s="2"/>
      <c r="CH265" s="2"/>
      <c r="CI265" s="2"/>
      <c r="CJ265" s="2"/>
      <c r="CK265" s="2"/>
    </row>
    <row r="266" spans="30:89" ht="12" customHeight="1" x14ac:dyDescent="0.2">
      <c r="AD266" s="368">
        <v>7000</v>
      </c>
      <c r="AE266" s="303" t="s">
        <v>570</v>
      </c>
      <c r="AF266" s="141">
        <v>1200</v>
      </c>
      <c r="AG266" s="197">
        <v>500</v>
      </c>
      <c r="AH266" s="502">
        <v>500</v>
      </c>
      <c r="AI266" s="502">
        <v>200</v>
      </c>
      <c r="AJ266" s="502">
        <v>500</v>
      </c>
      <c r="AK266" s="197">
        <v>550</v>
      </c>
      <c r="AL266" s="197">
        <v>500</v>
      </c>
      <c r="AM266" s="502">
        <v>80</v>
      </c>
      <c r="AN266" s="371">
        <f t="shared" si="41"/>
        <v>11030</v>
      </c>
      <c r="BM266" s="2"/>
      <c r="BN266" s="2"/>
      <c r="BO266" s="2"/>
      <c r="BP266" s="2"/>
      <c r="BQ266" s="2"/>
      <c r="CB266" s="2"/>
      <c r="CC266" s="2"/>
      <c r="CD266" s="2"/>
      <c r="CE266" s="117"/>
      <c r="CF266" s="2"/>
      <c r="CG266" s="2"/>
      <c r="CH266" s="2"/>
      <c r="CI266" s="2"/>
      <c r="CJ266" s="2"/>
      <c r="CK266" s="2"/>
    </row>
    <row r="267" spans="30:89" ht="12" customHeight="1" x14ac:dyDescent="0.2">
      <c r="AD267" s="368">
        <v>9333</v>
      </c>
      <c r="AE267" s="303" t="s">
        <v>571</v>
      </c>
      <c r="AF267" s="141">
        <v>1400</v>
      </c>
      <c r="AG267" s="197">
        <v>600</v>
      </c>
      <c r="AH267" s="502">
        <v>600</v>
      </c>
      <c r="AI267" s="502">
        <v>200</v>
      </c>
      <c r="AJ267" s="502">
        <v>600</v>
      </c>
      <c r="AK267" s="197">
        <v>700</v>
      </c>
      <c r="AL267" s="197">
        <v>600</v>
      </c>
      <c r="AM267" s="502">
        <v>80</v>
      </c>
      <c r="AN267" s="371">
        <f t="shared" si="41"/>
        <v>14113</v>
      </c>
      <c r="BM267" s="2"/>
      <c r="BN267" s="2"/>
      <c r="BO267" s="2"/>
      <c r="BP267" s="2"/>
      <c r="BQ267" s="2"/>
      <c r="CB267" s="2"/>
      <c r="CC267" s="2"/>
      <c r="CD267" s="2"/>
      <c r="CE267" s="2"/>
      <c r="CF267" s="2"/>
      <c r="CG267" s="2"/>
      <c r="CH267" s="2"/>
      <c r="CI267" s="2"/>
      <c r="CJ267" s="2"/>
      <c r="CK267" s="2"/>
    </row>
    <row r="268" spans="30:89" ht="12" customHeight="1" thickBot="1" x14ac:dyDescent="0.25">
      <c r="AD268" s="368">
        <v>14000</v>
      </c>
      <c r="AE268" s="496" t="s">
        <v>575</v>
      </c>
      <c r="AF268" s="495">
        <v>4800</v>
      </c>
      <c r="AG268" s="497">
        <v>700</v>
      </c>
      <c r="AH268" s="497">
        <v>800</v>
      </c>
      <c r="AI268" s="497">
        <v>400</v>
      </c>
      <c r="AJ268" s="497">
        <v>1000</v>
      </c>
      <c r="AK268" s="497">
        <v>850</v>
      </c>
      <c r="AL268" s="497">
        <v>700</v>
      </c>
      <c r="AM268" s="497">
        <v>160</v>
      </c>
      <c r="AN268" s="499">
        <f t="shared" si="41"/>
        <v>23410</v>
      </c>
      <c r="BH268" s="2"/>
      <c r="BI268" s="2"/>
      <c r="BJ268" s="2"/>
      <c r="BK268" s="117"/>
      <c r="BL268" s="2"/>
      <c r="BM268" s="2"/>
      <c r="BN268" s="2"/>
      <c r="BO268" s="2"/>
      <c r="BP268" s="2"/>
      <c r="BQ268" s="2"/>
      <c r="CB268" s="2"/>
      <c r="CC268" s="2"/>
      <c r="CD268" s="2"/>
      <c r="CE268" s="2"/>
      <c r="CF268" s="2"/>
      <c r="CG268" s="2"/>
      <c r="CH268" s="2"/>
      <c r="CI268" s="2"/>
      <c r="CJ268" s="2"/>
      <c r="CK268" s="2"/>
    </row>
    <row r="269" spans="30:89" ht="12" customHeight="1" thickBot="1" x14ac:dyDescent="0.25">
      <c r="AE269" s="990" t="s">
        <v>110</v>
      </c>
      <c r="AF269" s="991"/>
      <c r="AG269" s="991"/>
      <c r="AH269" s="991"/>
      <c r="AI269" s="991"/>
      <c r="AJ269" s="991"/>
      <c r="AK269" s="991"/>
      <c r="AL269" s="991"/>
      <c r="AM269" s="991"/>
      <c r="AN269" s="992"/>
      <c r="BH269" s="2"/>
      <c r="BI269" s="2"/>
      <c r="BJ269" s="2"/>
      <c r="BK269" s="117"/>
      <c r="BL269" s="2"/>
      <c r="BM269" s="2"/>
      <c r="BN269" s="2"/>
      <c r="BO269" s="2"/>
      <c r="BP269" s="2"/>
      <c r="BQ269" s="2"/>
      <c r="CB269" s="2"/>
      <c r="CC269" s="2"/>
      <c r="CD269" s="2"/>
      <c r="CE269" s="2"/>
      <c r="CF269" s="2"/>
      <c r="CG269" s="2"/>
      <c r="CH269" s="2"/>
      <c r="CI269" s="2"/>
      <c r="CJ269" s="2"/>
      <c r="CK269" s="2"/>
    </row>
    <row r="270" spans="30:89" ht="12" customHeight="1" x14ac:dyDescent="0.2">
      <c r="BH270" s="2"/>
      <c r="BI270" s="2"/>
      <c r="BJ270" s="2"/>
      <c r="BK270" s="117"/>
      <c r="BL270" s="2"/>
      <c r="BM270" s="2"/>
      <c r="BN270" s="2"/>
      <c r="BO270" s="2"/>
      <c r="BP270" s="2"/>
      <c r="BQ270" s="2"/>
      <c r="CB270" s="2"/>
      <c r="CC270" s="2"/>
      <c r="CD270" s="2"/>
      <c r="CE270" s="2"/>
      <c r="CF270" s="2"/>
      <c r="CG270" s="2"/>
      <c r="CH270" s="2"/>
      <c r="CI270" s="2"/>
      <c r="CJ270" s="2"/>
      <c r="CK270" s="2"/>
    </row>
    <row r="271" spans="30:89" ht="12" customHeight="1" x14ac:dyDescent="0.2">
      <c r="BH271" s="2"/>
      <c r="BI271" s="2"/>
      <c r="BJ271" s="2"/>
      <c r="BK271" s="2"/>
      <c r="BL271" s="2"/>
      <c r="BM271" s="2"/>
      <c r="BN271" s="2"/>
      <c r="BO271" s="2"/>
      <c r="BP271" s="2"/>
      <c r="BQ271" s="2"/>
      <c r="CB271" s="2"/>
      <c r="CC271" s="2"/>
      <c r="CD271" s="2"/>
      <c r="CE271" s="2"/>
      <c r="CF271" s="2"/>
      <c r="CG271" s="2"/>
      <c r="CH271" s="2"/>
      <c r="CI271" s="2"/>
      <c r="CJ271" s="2"/>
      <c r="CK271" s="2"/>
    </row>
    <row r="272" spans="30:89" ht="12" customHeight="1" x14ac:dyDescent="0.2">
      <c r="BH272" s="2"/>
      <c r="BI272" s="2"/>
      <c r="BJ272" s="2"/>
      <c r="BK272" s="2"/>
      <c r="BL272" s="2"/>
      <c r="BM272" s="2"/>
      <c r="BN272" s="2"/>
      <c r="BO272" s="2"/>
      <c r="BP272" s="2"/>
      <c r="BQ272" s="2"/>
      <c r="CB272" s="2"/>
      <c r="CC272" s="2"/>
      <c r="CD272" s="2"/>
      <c r="CE272" s="2"/>
      <c r="CF272" s="2"/>
      <c r="CG272" s="2"/>
      <c r="CH272" s="2"/>
      <c r="CI272" s="2"/>
      <c r="CJ272" s="2"/>
      <c r="CK272" s="2"/>
    </row>
    <row r="273" spans="30:89" ht="12" customHeight="1" x14ac:dyDescent="0.2">
      <c r="BH273" s="2"/>
      <c r="BI273" s="2"/>
      <c r="BJ273" s="2"/>
      <c r="BK273" s="2"/>
      <c r="BL273" s="2"/>
      <c r="BM273" s="2"/>
      <c r="BN273" s="2"/>
      <c r="BO273" s="2"/>
      <c r="BP273" s="2"/>
      <c r="BQ273" s="2"/>
      <c r="CB273" s="2"/>
      <c r="CC273" s="2"/>
      <c r="CD273" s="2"/>
      <c r="CE273" s="2"/>
      <c r="CF273" s="2"/>
      <c r="CG273" s="2"/>
      <c r="CH273" s="2"/>
      <c r="CI273" s="2"/>
      <c r="CJ273" s="2"/>
      <c r="CK273" s="2"/>
    </row>
    <row r="274" spans="30:89" ht="12" customHeight="1" x14ac:dyDescent="0.2">
      <c r="AQ274" s="2"/>
      <c r="AR274" s="2"/>
      <c r="AS274" s="2"/>
      <c r="AT274" s="2"/>
      <c r="AU274" s="2"/>
      <c r="BH274" s="2"/>
      <c r="BI274" s="2"/>
      <c r="BJ274" s="2"/>
      <c r="BK274" s="2"/>
      <c r="BL274" s="2"/>
      <c r="BM274" s="2"/>
      <c r="BN274" s="2"/>
      <c r="BO274" s="2"/>
      <c r="BP274" s="2"/>
      <c r="BQ274" s="2"/>
      <c r="CB274" s="2"/>
      <c r="CC274" s="2"/>
      <c r="CD274" s="2"/>
      <c r="CE274" s="218"/>
      <c r="CF274" s="2"/>
      <c r="CG274" s="2"/>
      <c r="CH274" s="2"/>
      <c r="CI274" s="2"/>
      <c r="CJ274" s="2"/>
      <c r="CK274" s="2"/>
    </row>
    <row r="275" spans="30:89" ht="12" customHeight="1" x14ac:dyDescent="0.2">
      <c r="AQ275" s="2"/>
      <c r="AR275" s="2"/>
      <c r="AS275" s="2"/>
      <c r="AT275" s="2"/>
      <c r="AU275" s="2"/>
      <c r="BH275" s="2"/>
      <c r="BI275" s="2"/>
      <c r="BJ275" s="2"/>
      <c r="BK275" s="2"/>
      <c r="BL275" s="2"/>
      <c r="BM275" s="2"/>
      <c r="BN275" s="2"/>
      <c r="BO275" s="2"/>
      <c r="BP275" s="2"/>
      <c r="BQ275" s="2"/>
      <c r="CB275" s="2"/>
      <c r="CC275" s="2"/>
      <c r="CD275" s="2"/>
      <c r="CE275" s="218"/>
      <c r="CF275" s="2"/>
      <c r="CG275" s="2"/>
      <c r="CH275" s="2"/>
      <c r="CI275" s="2"/>
      <c r="CJ275" s="2"/>
      <c r="CK275" s="2"/>
    </row>
    <row r="276" spans="30:89" ht="12" customHeight="1" x14ac:dyDescent="0.2">
      <c r="AQ276" s="2"/>
      <c r="AR276" s="2"/>
      <c r="AS276" s="2"/>
      <c r="AT276" s="2"/>
      <c r="AU276" s="2"/>
      <c r="BH276" s="2"/>
      <c r="BI276" s="2"/>
      <c r="BJ276" s="2"/>
      <c r="BK276" s="2"/>
      <c r="BL276" s="2"/>
      <c r="BM276" s="2"/>
      <c r="BN276" s="2"/>
      <c r="BO276" s="2"/>
      <c r="BP276" s="2"/>
      <c r="BQ276" s="2"/>
      <c r="CB276" s="2"/>
      <c r="CC276" s="2"/>
      <c r="CD276" s="2"/>
      <c r="CE276" s="218"/>
      <c r="CF276" s="2"/>
      <c r="CG276" s="2"/>
      <c r="CH276" s="2"/>
      <c r="CI276" s="2"/>
      <c r="CJ276" s="2"/>
      <c r="CK276" s="2"/>
    </row>
    <row r="277" spans="30:89" ht="12" customHeight="1" x14ac:dyDescent="0.2">
      <c r="AQ277" s="2"/>
      <c r="AR277" s="2"/>
      <c r="AS277" s="2"/>
      <c r="AT277" s="2"/>
      <c r="AU277" s="2"/>
      <c r="BH277" s="2"/>
      <c r="BI277" s="2"/>
      <c r="BJ277" s="2"/>
      <c r="BK277" s="2"/>
      <c r="BL277" s="2"/>
      <c r="BM277" s="2"/>
      <c r="BN277" s="2"/>
      <c r="BO277" s="2"/>
      <c r="BP277" s="2"/>
      <c r="BQ277" s="2"/>
      <c r="CB277" s="2"/>
      <c r="CC277" s="2"/>
      <c r="CD277" s="2"/>
      <c r="CE277" s="117"/>
      <c r="CF277" s="2"/>
      <c r="CG277" s="2"/>
      <c r="CH277" s="2"/>
      <c r="CI277" s="2"/>
      <c r="CJ277" s="2"/>
      <c r="CK277" s="2"/>
    </row>
    <row r="278" spans="30:89" ht="12" customHeight="1" thickBot="1" x14ac:dyDescent="0.25">
      <c r="AQ278" s="2"/>
      <c r="AR278" s="2"/>
      <c r="AS278" s="2"/>
      <c r="AT278" s="2"/>
      <c r="AU278" s="2"/>
      <c r="BH278" s="2"/>
      <c r="BI278" s="2"/>
      <c r="BJ278" s="2"/>
      <c r="BK278" s="218"/>
      <c r="BL278" s="2"/>
      <c r="BM278" s="2"/>
      <c r="BN278" s="2"/>
      <c r="BO278" s="2"/>
      <c r="BP278" s="2"/>
      <c r="BQ278" s="2"/>
      <c r="CB278" s="2"/>
      <c r="CC278" s="2"/>
      <c r="CD278" s="2"/>
      <c r="CE278" s="2"/>
      <c r="CF278" s="2"/>
      <c r="CG278" s="2"/>
      <c r="CH278" s="2"/>
      <c r="CI278" s="2"/>
      <c r="CJ278" s="2"/>
      <c r="CK278" s="2"/>
    </row>
    <row r="279" spans="30:89" ht="12" customHeight="1" x14ac:dyDescent="0.2">
      <c r="AD279" s="977" t="s">
        <v>860</v>
      </c>
      <c r="AE279" s="978"/>
      <c r="AF279" s="978"/>
      <c r="AG279" s="978"/>
      <c r="AH279" s="979"/>
      <c r="AI279" s="2"/>
      <c r="AJ279" s="2"/>
      <c r="AK279" s="2"/>
      <c r="AL279" s="2"/>
      <c r="AM279" s="2"/>
      <c r="AN279" s="2"/>
      <c r="AO279" s="117"/>
      <c r="AP279" s="2"/>
      <c r="AQ279" s="2"/>
      <c r="AR279" s="2"/>
      <c r="AS279" s="2"/>
      <c r="AT279" s="2"/>
      <c r="AU279" s="2"/>
      <c r="BH279" s="2"/>
      <c r="BI279" s="2"/>
      <c r="BJ279" s="2"/>
      <c r="BK279" s="218"/>
      <c r="BL279" s="2"/>
      <c r="BM279" s="2"/>
      <c r="BN279" s="2"/>
      <c r="BO279" s="2"/>
      <c r="BP279" s="2"/>
      <c r="BQ279" s="2"/>
      <c r="CB279" s="2"/>
      <c r="CC279" s="2"/>
      <c r="CD279" s="2"/>
      <c r="CE279" s="2"/>
      <c r="CF279" s="2"/>
      <c r="CG279" s="2"/>
      <c r="CH279" s="2"/>
      <c r="CI279" s="2"/>
      <c r="CJ279" s="2"/>
      <c r="CK279" s="2"/>
    </row>
    <row r="280" spans="30:89" ht="12" customHeight="1" thickBot="1" x14ac:dyDescent="0.25">
      <c r="AD280" s="980"/>
      <c r="AE280" s="981"/>
      <c r="AF280" s="981"/>
      <c r="AG280" s="981"/>
      <c r="AH280" s="982"/>
      <c r="AI280" s="2"/>
      <c r="AJ280" s="2"/>
      <c r="AK280" s="2"/>
      <c r="AL280" s="2"/>
      <c r="AM280" s="2"/>
      <c r="AN280" s="2"/>
      <c r="AO280" s="117"/>
      <c r="AP280" s="2"/>
      <c r="AQ280" s="2"/>
      <c r="AR280" s="2"/>
      <c r="AS280" s="2"/>
      <c r="AT280" s="2"/>
      <c r="AU280" s="2"/>
      <c r="BH280" s="2"/>
      <c r="BI280" s="2"/>
      <c r="BJ280" s="2"/>
      <c r="BK280" s="218"/>
      <c r="BL280" s="2"/>
      <c r="BM280" s="2"/>
      <c r="BN280" s="2"/>
      <c r="BO280" s="2"/>
      <c r="BP280" s="2"/>
      <c r="BQ280" s="2"/>
      <c r="CB280" s="2"/>
      <c r="CC280" s="2"/>
      <c r="CD280" s="2"/>
      <c r="CE280" s="2"/>
      <c r="CF280" s="2"/>
      <c r="CG280" s="2"/>
      <c r="CH280" s="2"/>
      <c r="CI280" s="2"/>
      <c r="CJ280" s="2"/>
      <c r="CK280" s="2"/>
    </row>
    <row r="281" spans="30:89" ht="12" customHeight="1" x14ac:dyDescent="0.2">
      <c r="AD281" s="310"/>
      <c r="AE281" s="96"/>
      <c r="AF281" s="473" t="s">
        <v>33</v>
      </c>
      <c r="AG281" s="474"/>
      <c r="AH281" s="311"/>
      <c r="AI281" s="2"/>
      <c r="AJ281" s="2"/>
      <c r="AK281" s="2"/>
      <c r="AL281" s="2"/>
      <c r="AM281" s="2"/>
      <c r="AN281" s="2"/>
      <c r="AO281" s="117"/>
      <c r="AP281" s="2"/>
      <c r="AQ281" s="2"/>
      <c r="AR281" s="2"/>
      <c r="AS281" s="2"/>
      <c r="AT281" s="2"/>
      <c r="AU281" s="2"/>
      <c r="BH281" s="2"/>
      <c r="BI281" s="2"/>
      <c r="BJ281" s="2"/>
      <c r="BK281" s="117"/>
      <c r="BL281" s="2"/>
      <c r="BM281" s="2"/>
      <c r="BN281" s="2"/>
      <c r="BO281" s="2"/>
      <c r="BP281" s="2"/>
      <c r="BQ281" s="2"/>
      <c r="CB281" s="2"/>
      <c r="CC281" s="2"/>
      <c r="CD281" s="2"/>
      <c r="CE281" s="2"/>
      <c r="CF281" s="2"/>
      <c r="CG281" s="2"/>
      <c r="CH281" s="2"/>
      <c r="CI281" s="2"/>
      <c r="CJ281" s="2"/>
      <c r="CK281" s="2"/>
    </row>
    <row r="282" spans="30:89" ht="12" customHeight="1" thickBot="1" x14ac:dyDescent="0.25">
      <c r="AD282" s="312" t="s">
        <v>121</v>
      </c>
      <c r="AE282" s="99"/>
      <c r="AF282" s="100" t="s">
        <v>122</v>
      </c>
      <c r="AG282" s="100" t="s">
        <v>38</v>
      </c>
      <c r="AH282" s="313" t="s">
        <v>123</v>
      </c>
      <c r="AI282" s="2"/>
      <c r="AJ282" s="2"/>
      <c r="AK282" s="2"/>
      <c r="AL282" s="2"/>
      <c r="AM282" s="2"/>
      <c r="AN282" s="2"/>
      <c r="AO282" s="2"/>
      <c r="AP282" s="2"/>
      <c r="AQ282" s="2"/>
      <c r="AR282" s="2"/>
      <c r="AS282" s="2"/>
      <c r="AT282" s="2"/>
      <c r="AU282" s="2"/>
      <c r="BH282" s="2"/>
      <c r="BI282" s="2"/>
      <c r="BJ282" s="2"/>
      <c r="BK282" s="2"/>
      <c r="BL282" s="2"/>
      <c r="BM282" s="2"/>
      <c r="BN282" s="2"/>
      <c r="BO282" s="2"/>
      <c r="BP282" s="2"/>
      <c r="BQ282" s="2"/>
      <c r="CB282" s="2"/>
      <c r="CC282" s="2"/>
      <c r="CD282" s="2"/>
      <c r="CE282" s="2"/>
      <c r="CF282" s="2"/>
      <c r="CG282" s="2"/>
      <c r="CH282" s="2"/>
      <c r="CI282" s="2"/>
      <c r="CJ282" s="2"/>
      <c r="CK282" s="2"/>
    </row>
    <row r="283" spans="30:89" ht="12" customHeight="1" x14ac:dyDescent="0.2">
      <c r="AD283" s="649" t="s">
        <v>840</v>
      </c>
      <c r="AE283" s="650" t="s">
        <v>96</v>
      </c>
      <c r="AF283" s="211">
        <v>0</v>
      </c>
      <c r="AG283" s="212">
        <f>IF($G$19=0,0,$G$19*2)</f>
        <v>1300</v>
      </c>
      <c r="AH283" s="377"/>
      <c r="AI283" s="507"/>
      <c r="AJ283" s="2"/>
      <c r="AK283" s="2"/>
      <c r="AL283" s="2"/>
      <c r="AM283" s="2"/>
      <c r="AN283" s="2"/>
      <c r="AO283" s="2"/>
      <c r="AP283" s="2"/>
      <c r="AQ283" s="2"/>
      <c r="AR283" s="2"/>
      <c r="AS283" s="2"/>
      <c r="AT283" s="2"/>
      <c r="AU283" s="2"/>
      <c r="BH283" s="2"/>
      <c r="BI283" s="2"/>
      <c r="BJ283" s="2"/>
      <c r="BK283" s="2"/>
      <c r="BL283" s="2"/>
      <c r="BM283" s="2"/>
      <c r="BN283" s="2"/>
      <c r="BO283" s="2"/>
      <c r="BP283" s="2"/>
      <c r="BQ283" s="2"/>
      <c r="CB283" s="2"/>
      <c r="CC283" s="2"/>
      <c r="CD283" s="2"/>
      <c r="CE283" s="2"/>
      <c r="CF283" s="2"/>
      <c r="CG283" s="2"/>
      <c r="CH283" s="2"/>
      <c r="CI283" s="2"/>
      <c r="CJ283" s="2"/>
      <c r="CK283" s="2"/>
    </row>
    <row r="284" spans="30:89" ht="12" customHeight="1" x14ac:dyDescent="0.2">
      <c r="AD284" s="649" t="s">
        <v>841</v>
      </c>
      <c r="AE284" s="650" t="s">
        <v>185</v>
      </c>
      <c r="AF284" s="187">
        <v>1</v>
      </c>
      <c r="AG284" s="80"/>
      <c r="AH284" s="318">
        <f>(AG285+AG286+AG287+AG288+AG289)*AF284</f>
        <v>2275</v>
      </c>
      <c r="AI284" s="507"/>
      <c r="AJ284" s="2"/>
      <c r="AK284" s="2"/>
      <c r="AL284" s="2"/>
      <c r="AM284" s="2"/>
      <c r="AN284" s="2"/>
      <c r="AO284" s="2"/>
      <c r="AP284" s="2"/>
      <c r="AQ284" s="2"/>
      <c r="AR284" s="2"/>
      <c r="AS284" s="2"/>
      <c r="AT284" s="2"/>
      <c r="AU284" s="2"/>
      <c r="BH284" s="2"/>
      <c r="BI284" s="2"/>
      <c r="BJ284" s="2"/>
      <c r="BK284" s="2"/>
      <c r="BL284" s="2"/>
      <c r="BM284" s="2"/>
      <c r="BN284" s="2"/>
      <c r="BO284" s="2"/>
      <c r="BP284" s="2"/>
      <c r="BQ284" s="2"/>
      <c r="CB284" s="2"/>
      <c r="CC284" s="2"/>
      <c r="CD284" s="2"/>
      <c r="CE284" s="2"/>
      <c r="CF284" s="2"/>
      <c r="CG284" s="2"/>
      <c r="CH284" s="2"/>
      <c r="CI284" s="2"/>
      <c r="CJ284" s="2"/>
      <c r="CK284" s="2"/>
    </row>
    <row r="285" spans="30:89" ht="12" customHeight="1" x14ac:dyDescent="0.2">
      <c r="AD285" s="649" t="s">
        <v>842</v>
      </c>
      <c r="AE285" s="650" t="s">
        <v>843</v>
      </c>
      <c r="AF285" s="216"/>
      <c r="AG285" s="80">
        <f>IF($G$19=0,0,0.36*3.5*$G$19)</f>
        <v>819</v>
      </c>
      <c r="AH285" s="318"/>
      <c r="AI285" s="442"/>
      <c r="AJ285" s="2"/>
      <c r="AK285" s="2"/>
      <c r="AL285" s="2"/>
      <c r="AM285" s="2"/>
      <c r="AN285" s="2"/>
      <c r="AO285" s="2"/>
      <c r="AP285" s="2"/>
      <c r="AQ285" s="2"/>
      <c r="AR285" s="2"/>
      <c r="AS285" s="2"/>
      <c r="AT285" s="2"/>
      <c r="AU285" s="2"/>
      <c r="BH285" s="2"/>
      <c r="BI285" s="2"/>
      <c r="BJ285" s="2"/>
      <c r="BK285" s="2"/>
      <c r="BL285" s="2"/>
      <c r="BM285" s="2"/>
      <c r="BN285" s="2"/>
      <c r="BO285" s="2"/>
      <c r="BP285" s="2"/>
      <c r="BQ285" s="2"/>
      <c r="CB285" s="2"/>
      <c r="CC285" s="2"/>
      <c r="CD285" s="2"/>
      <c r="CE285" s="2"/>
      <c r="CF285" s="2"/>
      <c r="CG285" s="2"/>
      <c r="CH285" s="2"/>
      <c r="CI285" s="2"/>
      <c r="CJ285" s="2"/>
      <c r="CK285" s="2"/>
    </row>
    <row r="286" spans="30:89" ht="12" customHeight="1" x14ac:dyDescent="0.2">
      <c r="AD286" s="649" t="s">
        <v>844</v>
      </c>
      <c r="AE286" s="650" t="s">
        <v>191</v>
      </c>
      <c r="AF286" s="217"/>
      <c r="AG286" s="80">
        <f>IF($G$19=0,0,0.34*3.5*$G$19)</f>
        <v>773.50000000000011</v>
      </c>
      <c r="AH286" s="318"/>
      <c r="AI286" s="442"/>
      <c r="AJ286" s="2"/>
      <c r="AK286" s="2"/>
      <c r="AL286" s="2"/>
      <c r="AM286" s="2"/>
      <c r="AN286" s="2"/>
      <c r="AO286" s="2"/>
      <c r="AP286" s="2"/>
      <c r="AQ286" s="2"/>
      <c r="AR286" s="2"/>
      <c r="AS286" s="2"/>
      <c r="AT286" s="2"/>
      <c r="AU286" s="2"/>
      <c r="BH286" s="2"/>
      <c r="BI286" s="2"/>
      <c r="BJ286" s="2"/>
      <c r="BK286" s="2"/>
      <c r="BL286" s="2"/>
      <c r="BM286" s="2"/>
      <c r="BN286" s="2"/>
      <c r="BO286" s="2"/>
      <c r="CB286" s="2"/>
      <c r="CC286" s="2"/>
      <c r="CD286" s="2"/>
      <c r="CE286" s="2"/>
      <c r="CF286" s="2"/>
      <c r="CG286" s="2"/>
      <c r="CH286" s="2"/>
      <c r="CI286" s="2"/>
      <c r="CJ286" s="2"/>
      <c r="CK286" s="2"/>
    </row>
    <row r="287" spans="30:89" ht="12" customHeight="1" x14ac:dyDescent="0.2">
      <c r="AD287" s="649" t="s">
        <v>845</v>
      </c>
      <c r="AE287" s="650" t="s">
        <v>193</v>
      </c>
      <c r="AF287" s="217"/>
      <c r="AG287" s="80">
        <f>IF($G$19=0,0,0.11*3.5*$G$19)</f>
        <v>250.25</v>
      </c>
      <c r="AH287" s="318"/>
      <c r="AI287" s="442"/>
      <c r="AJ287" s="2"/>
      <c r="AK287" s="2"/>
      <c r="AL287" s="2"/>
      <c r="AM287" s="2"/>
      <c r="AN287" s="2"/>
      <c r="AO287" s="2"/>
      <c r="AP287" s="2"/>
      <c r="AQ287" s="2"/>
      <c r="AR287" s="2"/>
      <c r="AS287" s="2"/>
      <c r="AT287" s="2"/>
      <c r="AU287" s="2"/>
      <c r="BH287" s="2"/>
      <c r="BI287" s="2"/>
      <c r="BJ287" s="2"/>
      <c r="BK287" s="2"/>
      <c r="BL287" s="2"/>
      <c r="BM287" s="2"/>
      <c r="BN287" s="2"/>
      <c r="BO287" s="2"/>
      <c r="CB287" s="2"/>
      <c r="CC287" s="2"/>
      <c r="CD287" s="2"/>
      <c r="CE287" s="2"/>
      <c r="CF287" s="2"/>
      <c r="CG287" s="2"/>
      <c r="CH287" s="2"/>
      <c r="CI287" s="2"/>
    </row>
    <row r="288" spans="30:89" ht="12" customHeight="1" x14ac:dyDescent="0.2">
      <c r="AD288" s="649" t="s">
        <v>846</v>
      </c>
      <c r="AE288" s="650" t="s">
        <v>195</v>
      </c>
      <c r="AF288" s="217"/>
      <c r="AG288" s="80">
        <f>IF($G$19=0,0,0.1*3.5*$G$19)</f>
        <v>227.50000000000003</v>
      </c>
      <c r="AH288" s="318"/>
      <c r="AI288" s="442"/>
      <c r="AJ288" s="2"/>
      <c r="AK288" s="2"/>
      <c r="AL288" s="2"/>
      <c r="AM288" s="2"/>
      <c r="AN288" s="2"/>
      <c r="AO288" s="2"/>
      <c r="AP288" s="2"/>
      <c r="AQ288" s="2"/>
      <c r="AR288" s="2"/>
      <c r="AS288" s="2"/>
      <c r="AT288" s="2"/>
      <c r="AU288" s="2"/>
      <c r="BH288" s="2"/>
      <c r="BI288" s="2"/>
      <c r="BJ288" s="2"/>
      <c r="BK288" s="2"/>
      <c r="BL288" s="2"/>
      <c r="BM288" s="2"/>
      <c r="BN288" s="2"/>
      <c r="BO288" s="2"/>
      <c r="CB288" s="2"/>
      <c r="CC288" s="2"/>
      <c r="CD288" s="2"/>
      <c r="CE288" s="2"/>
      <c r="CF288" s="2"/>
      <c r="CG288" s="2"/>
      <c r="CH288" s="2"/>
      <c r="CI288" s="2"/>
    </row>
    <row r="289" spans="26:87" ht="12" customHeight="1" x14ac:dyDescent="0.2">
      <c r="AD289" s="649" t="s">
        <v>847</v>
      </c>
      <c r="AE289" s="650" t="s">
        <v>197</v>
      </c>
      <c r="AF289" s="217"/>
      <c r="AG289" s="80">
        <f>IF($G$19=0,0,0.09*3.5*$G$19)</f>
        <v>204.75</v>
      </c>
      <c r="AH289" s="318"/>
      <c r="AI289" s="442"/>
      <c r="AJ289" s="2"/>
      <c r="AK289" s="2"/>
      <c r="AL289" s="2"/>
      <c r="AM289" s="2"/>
      <c r="AN289" s="2"/>
      <c r="AO289" s="218"/>
      <c r="AP289" s="2"/>
      <c r="AQ289" s="2"/>
      <c r="AR289" s="2"/>
      <c r="AS289" s="2"/>
      <c r="AT289" s="2"/>
      <c r="AU289" s="2"/>
      <c r="BH289" s="2"/>
      <c r="BI289" s="2"/>
      <c r="BJ289" s="2"/>
      <c r="BK289" s="2"/>
      <c r="BL289" s="2"/>
      <c r="BM289" s="2"/>
      <c r="BN289" s="2"/>
      <c r="BO289" s="2"/>
      <c r="CB289" s="2"/>
      <c r="CC289" s="2"/>
      <c r="CD289" s="2"/>
      <c r="CE289" s="2"/>
      <c r="CF289" s="2"/>
      <c r="CG289" s="2"/>
      <c r="CH289" s="2"/>
      <c r="CI289" s="2"/>
    </row>
    <row r="290" spans="26:87" ht="12" customHeight="1" x14ac:dyDescent="0.2">
      <c r="Z290" s="483"/>
      <c r="AA290" s="439" t="s">
        <v>775</v>
      </c>
      <c r="AB290" s="449"/>
      <c r="AD290" s="649" t="s">
        <v>848</v>
      </c>
      <c r="AE290" s="650" t="s">
        <v>99</v>
      </c>
      <c r="AF290" s="106">
        <v>1</v>
      </c>
      <c r="AG290" s="230">
        <f>IF($G$19=0,0,IF($G$19&lt;=450,AF307,(IF($G$19&lt;=800,AF308,(IF($G$19&lt;=1200,AF309,(IF($G$19&lt;=1600,AF310,(IF($G$19&gt;1600,AF311))))))))))</f>
        <v>75</v>
      </c>
      <c r="AH290" s="315">
        <f>AF290*AG290</f>
        <v>75</v>
      </c>
      <c r="AI290" s="3"/>
      <c r="AJ290" s="2"/>
      <c r="AK290" s="2"/>
      <c r="AL290" s="2"/>
      <c r="AM290" s="2"/>
      <c r="AN290" s="2"/>
      <c r="AO290" s="218"/>
      <c r="AP290" s="2"/>
      <c r="AQ290" s="2"/>
      <c r="AR290" s="2"/>
      <c r="AS290" s="2"/>
      <c r="AT290" s="2"/>
      <c r="AU290" s="2"/>
      <c r="BH290" s="2"/>
      <c r="BI290" s="2"/>
      <c r="BJ290" s="2"/>
      <c r="BK290" s="2"/>
      <c r="BL290" s="2"/>
      <c r="BM290" s="2"/>
      <c r="BN290" s="2"/>
      <c r="BO290" s="2"/>
      <c r="CB290" s="2"/>
      <c r="CC290" s="2"/>
      <c r="CD290" s="2"/>
      <c r="CE290" s="2"/>
      <c r="CF290" s="2"/>
      <c r="CG290" s="2"/>
      <c r="CH290" s="2"/>
      <c r="CI290" s="2"/>
    </row>
    <row r="291" spans="26:87" ht="12" customHeight="1" x14ac:dyDescent="0.2">
      <c r="Z291" s="484"/>
      <c r="AA291" s="485"/>
      <c r="AB291" s="486"/>
      <c r="AD291" s="649" t="s">
        <v>849</v>
      </c>
      <c r="AE291" s="650" t="s">
        <v>850</v>
      </c>
      <c r="AF291" s="106">
        <v>1</v>
      </c>
      <c r="AG291" s="300">
        <f>IF($G$19=0,0,IF($G$19&lt;=450,AG307,(IF($G$19&lt;=800,AG308,(IF($G$19&lt;=1200,AG309,(IF($G$19&lt;=1600,AG310,(IF($G$19&gt;1600,AG311))))))))))</f>
        <v>140</v>
      </c>
      <c r="AH291" s="316">
        <f>AF291*AG291</f>
        <v>140</v>
      </c>
      <c r="AI291" s="2"/>
      <c r="AJ291" s="2"/>
      <c r="AK291" s="2"/>
      <c r="AL291" s="2"/>
      <c r="AM291" s="2"/>
      <c r="AN291" s="2"/>
      <c r="AO291" s="218"/>
      <c r="AP291" s="2"/>
      <c r="AQ291" s="2"/>
      <c r="AR291" s="2"/>
      <c r="AS291" s="2"/>
      <c r="AT291" s="2"/>
      <c r="AU291" s="2"/>
      <c r="BH291" s="2"/>
      <c r="BI291" s="2"/>
      <c r="BJ291" s="2"/>
      <c r="BK291" s="2"/>
      <c r="BL291" s="2"/>
      <c r="BM291" s="2"/>
      <c r="BN291" s="2"/>
      <c r="BO291" s="2"/>
      <c r="CB291" s="2"/>
      <c r="CC291" s="2"/>
      <c r="CD291" s="2"/>
      <c r="CE291" s="2"/>
      <c r="CF291" s="2"/>
      <c r="CG291" s="2"/>
      <c r="CH291" s="2"/>
      <c r="CI291" s="2"/>
    </row>
    <row r="292" spans="26:87" ht="12" customHeight="1" x14ac:dyDescent="0.2">
      <c r="Z292" s="487"/>
      <c r="AA292" s="488"/>
      <c r="AB292" s="489"/>
      <c r="AD292" s="378"/>
      <c r="AE292" s="22"/>
      <c r="AF292" s="80"/>
      <c r="AG292" s="80"/>
      <c r="AH292" s="318"/>
      <c r="AI292" s="2"/>
      <c r="AJ292" s="2"/>
      <c r="AK292" s="2"/>
      <c r="AL292" s="2"/>
      <c r="AM292" s="2"/>
      <c r="AN292" s="2"/>
      <c r="AO292" s="117"/>
      <c r="AP292" s="2"/>
      <c r="AQ292" s="2"/>
      <c r="AR292" s="2"/>
      <c r="AS292" s="2"/>
      <c r="AT292" s="2"/>
      <c r="AU292" s="2"/>
      <c r="BH292" s="2"/>
      <c r="BI292" s="2"/>
      <c r="BJ292" s="2"/>
      <c r="BK292" s="2"/>
      <c r="BL292" s="2"/>
      <c r="BM292" s="2"/>
      <c r="CB292" s="2"/>
      <c r="CC292" s="2"/>
      <c r="CD292" s="2"/>
      <c r="CE292" s="2"/>
      <c r="CF292" s="2"/>
      <c r="CG292" s="2"/>
      <c r="CH292" s="2"/>
      <c r="CI292" s="2"/>
    </row>
    <row r="293" spans="26:87" ht="12" customHeight="1" thickBot="1" x14ac:dyDescent="0.25">
      <c r="Z293" s="490"/>
      <c r="AA293" s="448">
        <f>AH293</f>
        <v>2490</v>
      </c>
      <c r="AB293" s="449"/>
      <c r="AD293" s="379" t="s">
        <v>198</v>
      </c>
      <c r="AE293" s="320"/>
      <c r="AF293" s="321"/>
      <c r="AG293" s="321"/>
      <c r="AH293" s="322">
        <f>SUM(AH283:AH291)</f>
        <v>2490</v>
      </c>
      <c r="AI293" s="2"/>
      <c r="AJ293" s="2"/>
      <c r="AK293" s="2"/>
      <c r="AL293" s="2"/>
      <c r="AM293" s="2"/>
      <c r="AN293" s="2"/>
      <c r="AO293" s="2"/>
      <c r="AP293" s="2"/>
      <c r="AQ293" s="2"/>
      <c r="AR293" s="2"/>
      <c r="AS293" s="2"/>
      <c r="AT293" s="2"/>
      <c r="AU293" s="2"/>
      <c r="BH293" s="2"/>
      <c r="BI293" s="2"/>
      <c r="BJ293" s="2"/>
      <c r="BK293" s="2"/>
      <c r="BL293" s="2"/>
      <c r="BM293" s="2"/>
      <c r="CB293" s="2"/>
      <c r="CC293" s="2"/>
      <c r="CD293" s="2"/>
      <c r="CE293" s="2"/>
      <c r="CF293" s="2"/>
      <c r="CG293" s="2"/>
    </row>
    <row r="294" spans="26:87" ht="12" customHeight="1" thickBot="1" x14ac:dyDescent="0.25">
      <c r="AD294" s="2"/>
      <c r="AE294" s="2"/>
      <c r="AF294" s="2"/>
      <c r="AG294" s="2"/>
      <c r="AH294" s="2"/>
      <c r="AI294" s="2"/>
      <c r="AJ294" s="2"/>
      <c r="AK294" s="2"/>
      <c r="AL294" s="2"/>
      <c r="AM294" s="2"/>
      <c r="AN294" s="2"/>
      <c r="AO294" s="2"/>
      <c r="AP294" s="2"/>
      <c r="AQ294" s="2"/>
      <c r="AR294" s="2"/>
      <c r="AS294" s="2"/>
      <c r="AT294" s="2"/>
      <c r="AU294" s="2"/>
      <c r="BH294" s="2"/>
      <c r="BI294" s="2"/>
      <c r="BJ294" s="2"/>
      <c r="BK294" s="2"/>
      <c r="BL294" s="2"/>
      <c r="BM294" s="2"/>
      <c r="CB294" s="2"/>
      <c r="CC294" s="2"/>
      <c r="CD294" s="2"/>
      <c r="CE294" s="2"/>
      <c r="CF294" s="2"/>
      <c r="CG294" s="2"/>
    </row>
    <row r="295" spans="26:87" ht="12" customHeight="1" thickBot="1" x14ac:dyDescent="0.25">
      <c r="AD295" s="2"/>
      <c r="AE295" s="945" t="s">
        <v>200</v>
      </c>
      <c r="AF295" s="946"/>
      <c r="AG295" s="946"/>
      <c r="AH295" s="946"/>
      <c r="AI295" s="946"/>
      <c r="AJ295" s="947"/>
      <c r="AK295" s="2"/>
      <c r="AL295" s="2"/>
      <c r="AM295" s="2"/>
      <c r="AN295" s="2"/>
      <c r="AO295" s="2"/>
      <c r="AP295" s="2"/>
      <c r="AQ295" s="2"/>
      <c r="AR295" s="2"/>
      <c r="AS295" s="2"/>
      <c r="AT295" s="2"/>
      <c r="AU295" s="2"/>
      <c r="BH295" s="2"/>
      <c r="BI295" s="2"/>
      <c r="BJ295" s="2"/>
      <c r="BK295" s="2"/>
      <c r="BL295" s="2"/>
      <c r="BM295" s="2"/>
      <c r="CB295" s="2"/>
      <c r="CC295" s="2"/>
      <c r="CD295" s="2"/>
      <c r="CE295" s="2"/>
      <c r="CF295" s="2"/>
      <c r="CG295" s="2"/>
    </row>
    <row r="296" spans="26:87" ht="12" customHeight="1" thickBot="1" x14ac:dyDescent="0.25">
      <c r="AD296" s="2"/>
      <c r="AE296" s="173" t="s">
        <v>88</v>
      </c>
      <c r="AF296" s="194" t="s">
        <v>89</v>
      </c>
      <c r="AG296" s="194" t="s">
        <v>90</v>
      </c>
      <c r="AH296" s="194" t="s">
        <v>91</v>
      </c>
      <c r="AI296" s="205" t="s">
        <v>92</v>
      </c>
      <c r="AJ296" s="174" t="s">
        <v>93</v>
      </c>
      <c r="AK296" s="2"/>
      <c r="AL296" s="2"/>
      <c r="AM296" s="2"/>
      <c r="AN296" s="2"/>
      <c r="AO296" s="2"/>
      <c r="AP296" s="2"/>
      <c r="AQ296" s="2"/>
      <c r="AR296" s="2"/>
      <c r="AS296" s="2"/>
      <c r="AT296" s="2"/>
      <c r="AU296" s="2"/>
      <c r="BH296" s="2"/>
      <c r="BI296" s="2"/>
      <c r="BJ296" s="2"/>
      <c r="BK296" s="2"/>
      <c r="BL296" s="2"/>
      <c r="BM296" s="2"/>
      <c r="CB296" s="2"/>
      <c r="CC296" s="2"/>
      <c r="CD296" s="2"/>
      <c r="CE296" s="2"/>
      <c r="CF296" s="2"/>
      <c r="CG296" s="2"/>
    </row>
    <row r="297" spans="26:87" ht="12" customHeight="1" thickBot="1" x14ac:dyDescent="0.25">
      <c r="AD297" s="2"/>
      <c r="AE297" s="176" t="s">
        <v>94</v>
      </c>
      <c r="AF297" s="220" t="s">
        <v>89</v>
      </c>
      <c r="AG297" s="221" t="s">
        <v>92</v>
      </c>
      <c r="AH297" s="222">
        <v>3.5</v>
      </c>
      <c r="AI297" s="206" t="s">
        <v>92</v>
      </c>
      <c r="AJ297" s="223">
        <v>0.36</v>
      </c>
      <c r="AK297" s="2"/>
      <c r="AL297" s="2"/>
      <c r="AM297" s="2"/>
      <c r="AN297" s="2"/>
      <c r="AO297" s="2"/>
      <c r="AP297" s="2"/>
      <c r="AQ297" s="2"/>
      <c r="AR297" s="2"/>
      <c r="AS297" s="2"/>
      <c r="BH297" s="2"/>
      <c r="BI297" s="2"/>
      <c r="BJ297" s="2"/>
      <c r="BK297" s="2"/>
      <c r="BL297" s="2"/>
      <c r="BM297" s="2"/>
      <c r="CB297" s="2"/>
      <c r="CC297" s="2"/>
      <c r="CD297" s="2"/>
      <c r="CE297" s="2"/>
      <c r="CF297" s="2"/>
      <c r="CG297" s="2"/>
    </row>
    <row r="298" spans="26:87" ht="12" customHeight="1" thickBot="1" x14ac:dyDescent="0.25">
      <c r="AD298" s="2"/>
      <c r="AE298" s="179" t="s">
        <v>722</v>
      </c>
      <c r="AF298" s="221" t="s">
        <v>89</v>
      </c>
      <c r="AG298" s="221" t="s">
        <v>92</v>
      </c>
      <c r="AH298" s="222">
        <v>3.5</v>
      </c>
      <c r="AI298" s="206" t="s">
        <v>92</v>
      </c>
      <c r="AJ298" s="224">
        <v>0.34</v>
      </c>
      <c r="AK298" s="2"/>
      <c r="AL298" s="2"/>
      <c r="AM298" s="2"/>
      <c r="AN298" s="2"/>
      <c r="AO298" s="2"/>
      <c r="AP298" s="2"/>
      <c r="AQ298" s="2"/>
      <c r="AR298" s="2"/>
      <c r="AS298" s="2"/>
      <c r="BH298" s="2"/>
      <c r="BI298" s="2"/>
      <c r="BJ298" s="2"/>
      <c r="BK298" s="2"/>
      <c r="BL298" s="2"/>
      <c r="BT298" s="2"/>
      <c r="BU298" s="948" t="s">
        <v>110</v>
      </c>
      <c r="BV298" s="949"/>
      <c r="BW298" s="949"/>
      <c r="BX298" s="950"/>
      <c r="BY298" s="2"/>
      <c r="BZ298" s="2"/>
      <c r="CA298" s="2"/>
      <c r="CB298" s="2"/>
      <c r="CC298" s="2"/>
      <c r="CD298" s="2"/>
      <c r="CE298" s="2"/>
      <c r="CF298" s="2"/>
      <c r="CG298" s="2"/>
    </row>
    <row r="299" spans="26:87" ht="12" customHeight="1" x14ac:dyDescent="0.2">
      <c r="AD299" s="2"/>
      <c r="AE299" s="179" t="s">
        <v>95</v>
      </c>
      <c r="AF299" s="221" t="s">
        <v>89</v>
      </c>
      <c r="AG299" s="221" t="s">
        <v>92</v>
      </c>
      <c r="AH299" s="222">
        <v>3.5</v>
      </c>
      <c r="AI299" s="206" t="s">
        <v>92</v>
      </c>
      <c r="AJ299" s="224">
        <v>0.11</v>
      </c>
      <c r="AK299" s="2"/>
      <c r="AL299" s="2"/>
      <c r="AM299" s="2"/>
      <c r="AN299" s="2"/>
      <c r="AO299" s="2"/>
      <c r="AP299" s="2"/>
      <c r="AQ299" s="2"/>
      <c r="AR299" s="2"/>
      <c r="AS299" s="2"/>
      <c r="BH299" s="2"/>
      <c r="BI299" s="2"/>
      <c r="BJ299" s="2"/>
      <c r="BK299" s="2"/>
      <c r="BL299" s="2"/>
      <c r="BT299" s="2"/>
      <c r="BU299" s="2"/>
      <c r="BV299" s="2"/>
      <c r="BW299" s="2"/>
      <c r="BX299" s="2"/>
      <c r="BY299" s="2"/>
      <c r="BZ299" s="2"/>
      <c r="CA299" s="2"/>
    </row>
    <row r="300" spans="26:87" ht="12" customHeight="1" thickBot="1" x14ac:dyDescent="0.25">
      <c r="AD300" s="2"/>
      <c r="AE300" s="179" t="s">
        <v>720</v>
      </c>
      <c r="AF300" s="221" t="s">
        <v>89</v>
      </c>
      <c r="AG300" s="221" t="s">
        <v>92</v>
      </c>
      <c r="AH300" s="222">
        <v>3.5</v>
      </c>
      <c r="AI300" s="206" t="s">
        <v>92</v>
      </c>
      <c r="AJ300" s="224">
        <v>0.1</v>
      </c>
      <c r="AK300" s="2"/>
      <c r="AL300" s="2"/>
      <c r="AM300" s="2"/>
      <c r="AN300" s="2"/>
      <c r="AO300" s="2"/>
      <c r="AP300" s="2"/>
      <c r="AQ300" s="2"/>
      <c r="AR300" s="2"/>
      <c r="AS300" s="2"/>
      <c r="BH300" s="2"/>
      <c r="BI300" s="2"/>
      <c r="BJ300" s="2"/>
      <c r="BK300" s="2"/>
      <c r="BL300" s="2"/>
      <c r="BT300" s="2"/>
      <c r="BU300" s="2"/>
      <c r="BV300" s="2"/>
      <c r="BW300" s="2"/>
      <c r="BX300" s="2"/>
      <c r="BY300" s="2"/>
      <c r="BZ300" s="2"/>
      <c r="CA300" s="2"/>
    </row>
    <row r="301" spans="26:87" ht="12" customHeight="1" x14ac:dyDescent="0.2">
      <c r="AD301" s="2"/>
      <c r="AE301" s="179" t="s">
        <v>721</v>
      </c>
      <c r="AF301" s="221" t="s">
        <v>89</v>
      </c>
      <c r="AG301" s="221" t="s">
        <v>92</v>
      </c>
      <c r="AH301" s="222">
        <v>3.5</v>
      </c>
      <c r="AI301" s="206" t="s">
        <v>92</v>
      </c>
      <c r="AJ301" s="224">
        <v>0.09</v>
      </c>
      <c r="AK301" s="2"/>
      <c r="AL301" s="2"/>
      <c r="AM301" s="2"/>
      <c r="AN301" s="2"/>
      <c r="AO301" s="2"/>
      <c r="AP301" s="2"/>
      <c r="AQ301" s="2"/>
      <c r="AR301" s="2"/>
      <c r="AS301" s="2"/>
      <c r="BH301" s="2"/>
      <c r="BI301" s="2"/>
      <c r="BJ301" s="2"/>
      <c r="BK301" s="2"/>
      <c r="BL301" s="2"/>
      <c r="BT301" s="887" t="s">
        <v>201</v>
      </c>
      <c r="BU301" s="888"/>
      <c r="BV301" s="888"/>
      <c r="BW301" s="888"/>
      <c r="BX301" s="889"/>
      <c r="BY301" s="2"/>
      <c r="BZ301" s="2"/>
      <c r="CA301" s="2"/>
    </row>
    <row r="302" spans="26:87" ht="12" customHeight="1" thickBot="1" x14ac:dyDescent="0.25">
      <c r="AD302" s="2"/>
      <c r="AE302" s="176" t="s">
        <v>96</v>
      </c>
      <c r="AF302" s="221" t="s">
        <v>89</v>
      </c>
      <c r="AG302" s="221" t="s">
        <v>92</v>
      </c>
      <c r="AH302" s="222">
        <v>2</v>
      </c>
      <c r="AI302" s="206"/>
      <c r="AJ302" s="225"/>
      <c r="AK302" s="2"/>
      <c r="AL302" s="2"/>
      <c r="AM302" s="2"/>
      <c r="AN302" s="2"/>
      <c r="AO302" s="2"/>
      <c r="AP302" s="2"/>
      <c r="AQ302" s="2"/>
      <c r="AR302" s="2"/>
      <c r="AS302" s="2"/>
      <c r="BH302" s="2"/>
      <c r="BI302" s="2"/>
      <c r="BJ302" s="2"/>
      <c r="BK302" s="2"/>
      <c r="BL302" s="2"/>
      <c r="BT302" s="890"/>
      <c r="BU302" s="891"/>
      <c r="BV302" s="891"/>
      <c r="BW302" s="891"/>
      <c r="BX302" s="892"/>
      <c r="BY302" s="2"/>
      <c r="BZ302" s="2"/>
      <c r="CA302" s="2"/>
      <c r="CB302" s="2"/>
      <c r="CC302" s="2"/>
      <c r="CD302" s="2"/>
      <c r="CE302" s="18"/>
    </row>
    <row r="303" spans="26:87" ht="12" customHeight="1" thickBot="1" x14ac:dyDescent="0.25">
      <c r="AD303" s="2"/>
      <c r="AE303" s="948" t="s">
        <v>97</v>
      </c>
      <c r="AF303" s="949"/>
      <c r="AG303" s="949"/>
      <c r="AH303" s="949"/>
      <c r="AI303" s="949"/>
      <c r="AJ303" s="950"/>
      <c r="AK303" s="2"/>
      <c r="AL303" s="2"/>
      <c r="AM303" s="2"/>
      <c r="AN303" s="2"/>
      <c r="AO303" s="2"/>
      <c r="AP303" s="2"/>
      <c r="AQ303" s="2"/>
      <c r="AZ303" s="2"/>
      <c r="BA303" s="2"/>
      <c r="BB303" s="2"/>
      <c r="BC303" s="2"/>
      <c r="BD303" s="2"/>
      <c r="BE303" s="2"/>
      <c r="BF303" s="2"/>
      <c r="BG303" s="2"/>
      <c r="BT303" s="310"/>
      <c r="BU303" s="96"/>
      <c r="BV303" s="473" t="s">
        <v>33</v>
      </c>
      <c r="BW303" s="474"/>
      <c r="BX303" s="311"/>
      <c r="BY303" s="2"/>
      <c r="BZ303" s="2"/>
      <c r="CA303" s="2"/>
      <c r="CB303" s="2"/>
      <c r="CC303" s="2"/>
      <c r="CD303" s="2"/>
      <c r="CE303" s="18"/>
    </row>
    <row r="304" spans="26:87" ht="12" customHeight="1" thickBot="1" x14ac:dyDescent="0.25">
      <c r="AD304" s="2"/>
      <c r="AE304" s="2"/>
      <c r="AF304" s="2"/>
      <c r="AG304" s="2"/>
      <c r="AH304" s="2"/>
      <c r="AI304" s="2"/>
      <c r="AJ304" s="2"/>
      <c r="AK304" s="2"/>
      <c r="AL304" s="2"/>
      <c r="AM304" s="2"/>
      <c r="AN304" s="2"/>
      <c r="AO304" s="2"/>
      <c r="AP304" s="2"/>
      <c r="AQ304" s="2"/>
      <c r="AZ304" s="2"/>
      <c r="BA304" s="2"/>
      <c r="BB304" s="2"/>
      <c r="BC304" s="2"/>
      <c r="BD304" s="2"/>
      <c r="BE304" s="2"/>
      <c r="BF304" s="2"/>
      <c r="BG304" s="2"/>
      <c r="BT304" s="312" t="s">
        <v>121</v>
      </c>
      <c r="BU304" s="99"/>
      <c r="BV304" s="100" t="s">
        <v>122</v>
      </c>
      <c r="BW304" s="100" t="s">
        <v>38</v>
      </c>
      <c r="BX304" s="313" t="s">
        <v>123</v>
      </c>
      <c r="BY304" s="2"/>
      <c r="BZ304" s="2"/>
      <c r="CA304" s="2"/>
      <c r="CB304" s="2"/>
      <c r="CC304" s="2"/>
      <c r="CD304" s="2"/>
      <c r="CE304" s="18"/>
    </row>
    <row r="305" spans="26:83" ht="12" customHeight="1" thickBot="1" x14ac:dyDescent="0.25">
      <c r="AD305" s="2"/>
      <c r="AE305" s="945" t="s">
        <v>102</v>
      </c>
      <c r="AF305" s="946"/>
      <c r="AG305" s="946"/>
      <c r="AH305" s="947"/>
      <c r="AI305" s="2"/>
      <c r="AJ305" s="2"/>
      <c r="AK305" s="2"/>
      <c r="AL305" s="2"/>
      <c r="AM305" s="2"/>
      <c r="AN305" s="2"/>
      <c r="AO305" s="2"/>
      <c r="AP305" s="2"/>
      <c r="AQ305" s="2"/>
      <c r="AZ305" s="970" t="s">
        <v>201</v>
      </c>
      <c r="BA305" s="951"/>
      <c r="BB305" s="951"/>
      <c r="BC305" s="951"/>
      <c r="BD305" s="971"/>
      <c r="BE305" s="2"/>
      <c r="BF305" s="2"/>
      <c r="BG305" s="2"/>
      <c r="BT305" s="317" t="s">
        <v>202</v>
      </c>
      <c r="BU305" s="22" t="s">
        <v>203</v>
      </c>
      <c r="BV305" s="106">
        <v>1</v>
      </c>
      <c r="BW305" s="230">
        <f>IF($G$16&lt;=400,BV312,(IF($G$16&lt;=550,BV313,(IF($G$16&lt;=700,BV314,(IF($G$16&lt;=1000,BV315,(IF($G$16&lt;=1500,BV316,(IF($G$16&gt;1500,BV317)))))))))))</f>
        <v>200</v>
      </c>
      <c r="BX305" s="315">
        <f>BV305*BW305</f>
        <v>200</v>
      </c>
      <c r="BY305" s="443" t="s">
        <v>41</v>
      </c>
      <c r="BZ305" s="2"/>
      <c r="CA305" s="2"/>
      <c r="CB305" s="2"/>
      <c r="CC305" s="2"/>
      <c r="CD305" s="2"/>
    </row>
    <row r="306" spans="26:83" ht="12" customHeight="1" thickBot="1" x14ac:dyDescent="0.25">
      <c r="AD306" s="2"/>
      <c r="AE306" s="201" t="s">
        <v>103</v>
      </c>
      <c r="AF306" s="194" t="s">
        <v>719</v>
      </c>
      <c r="AG306" s="174" t="s">
        <v>199</v>
      </c>
      <c r="AH306" s="174" t="s">
        <v>179</v>
      </c>
      <c r="AI306" s="2"/>
      <c r="AJ306" s="2"/>
      <c r="AK306" s="2"/>
      <c r="AL306" s="2"/>
      <c r="AM306" s="2"/>
      <c r="AN306" s="2"/>
      <c r="AO306" s="2"/>
      <c r="AP306" s="2"/>
      <c r="AQ306" s="2"/>
      <c r="AZ306" s="972"/>
      <c r="BA306" s="891"/>
      <c r="BB306" s="891"/>
      <c r="BC306" s="891"/>
      <c r="BD306" s="973"/>
      <c r="BE306" s="2"/>
      <c r="BF306" s="2"/>
      <c r="BG306" s="2"/>
      <c r="BH306" s="2"/>
      <c r="BI306" s="2"/>
      <c r="BJ306" s="2"/>
      <c r="BK306" s="18"/>
      <c r="BT306" s="317" t="s">
        <v>111</v>
      </c>
      <c r="BU306" s="22" t="s">
        <v>112</v>
      </c>
      <c r="BV306" s="106">
        <v>1</v>
      </c>
      <c r="BW306" s="300">
        <f>IF($G$16&lt;=400,BW312,(IF($G$16&lt;=550,BW313,(IF($G$16&lt;=700,BW314,(IF($G$16&lt;=1000,BW315,(IF($G$16&lt;=1500,BW316,(IF($G$16&gt;1500,BW317)))))))))))</f>
        <v>100</v>
      </c>
      <c r="BX306" s="316">
        <f>BV306*BW306</f>
        <v>100</v>
      </c>
      <c r="BY306" s="260"/>
      <c r="BZ306" s="2"/>
      <c r="CA306" s="2"/>
      <c r="CB306" s="2"/>
      <c r="CC306" s="2"/>
      <c r="CD306" s="2"/>
      <c r="CE306" s="18"/>
    </row>
    <row r="307" spans="26:83" ht="12" customHeight="1" x14ac:dyDescent="0.2">
      <c r="AD307" s="2"/>
      <c r="AE307" s="137" t="s">
        <v>458</v>
      </c>
      <c r="AF307" s="203">
        <v>75</v>
      </c>
      <c r="AG307" s="195">
        <v>140</v>
      </c>
      <c r="AH307" s="226">
        <f>SUM(AF307:AG307)</f>
        <v>215</v>
      </c>
      <c r="AI307" s="2"/>
      <c r="AJ307" s="2"/>
      <c r="AK307" s="2"/>
      <c r="AL307" s="2"/>
      <c r="AM307" s="2"/>
      <c r="AN307" s="2"/>
      <c r="AO307" s="2"/>
      <c r="AP307" s="2"/>
      <c r="AQ307" s="2"/>
      <c r="AZ307" s="182"/>
      <c r="BA307" s="96"/>
      <c r="BB307" s="473" t="s">
        <v>33</v>
      </c>
      <c r="BC307" s="474"/>
      <c r="BD307" s="475"/>
      <c r="BE307" s="2"/>
      <c r="BF307" s="2"/>
      <c r="BG307" s="2"/>
      <c r="BH307" s="2"/>
      <c r="BI307" s="2"/>
      <c r="BJ307" s="2"/>
      <c r="BK307" s="18"/>
      <c r="BT307" s="317"/>
      <c r="BU307" s="22"/>
      <c r="BV307" s="80"/>
      <c r="BW307" s="80"/>
      <c r="BX307" s="318"/>
      <c r="BY307" s="2"/>
      <c r="BZ307" s="2"/>
      <c r="CA307" s="2"/>
      <c r="CB307" s="2"/>
      <c r="CC307" s="2"/>
      <c r="CD307" s="2"/>
      <c r="CE307" s="18"/>
    </row>
    <row r="308" spans="26:83" ht="12" customHeight="1" thickBot="1" x14ac:dyDescent="0.25">
      <c r="AD308" s="2"/>
      <c r="AE308" s="140" t="s">
        <v>569</v>
      </c>
      <c r="AF308" s="141">
        <v>75</v>
      </c>
      <c r="AG308" s="197">
        <v>140</v>
      </c>
      <c r="AH308" s="139">
        <f t="shared" ref="AH308:AH311" si="42">SUM(AF308:AG308)</f>
        <v>215</v>
      </c>
      <c r="AI308" s="2"/>
      <c r="AJ308" s="2"/>
      <c r="AK308" s="2"/>
      <c r="AL308" s="2"/>
      <c r="AM308" s="2"/>
      <c r="AN308" s="2"/>
      <c r="AO308" s="2"/>
      <c r="AP308" s="2"/>
      <c r="AQ308" s="2"/>
      <c r="AZ308" s="183" t="s">
        <v>121</v>
      </c>
      <c r="BA308" s="99"/>
      <c r="BB308" s="100" t="s">
        <v>122</v>
      </c>
      <c r="BC308" s="100" t="s">
        <v>38</v>
      </c>
      <c r="BD308" s="99" t="s">
        <v>123</v>
      </c>
      <c r="BE308" s="2"/>
      <c r="BF308" s="2"/>
      <c r="BG308" s="2"/>
      <c r="BH308" s="2"/>
      <c r="BI308" s="2"/>
      <c r="BJ308" s="2"/>
      <c r="BK308" s="18"/>
      <c r="BT308" s="319" t="s">
        <v>204</v>
      </c>
      <c r="BU308" s="320"/>
      <c r="BV308" s="321"/>
      <c r="BW308" s="321"/>
      <c r="BX308" s="322">
        <f>SUM(BX305:BX306)</f>
        <v>300</v>
      </c>
      <c r="BY308" s="2"/>
      <c r="BZ308" s="2"/>
      <c r="CA308" s="2"/>
      <c r="CB308" s="2"/>
      <c r="CC308" s="2"/>
      <c r="CD308" s="2"/>
      <c r="CE308" s="18"/>
    </row>
    <row r="309" spans="26:83" ht="12" customHeight="1" thickBot="1" x14ac:dyDescent="0.25">
      <c r="AD309" s="2"/>
      <c r="AE309" s="140" t="s">
        <v>570</v>
      </c>
      <c r="AF309" s="141">
        <v>75</v>
      </c>
      <c r="AG309" s="197">
        <v>140</v>
      </c>
      <c r="AH309" s="139">
        <f t="shared" si="42"/>
        <v>215</v>
      </c>
      <c r="AI309" s="2"/>
      <c r="AJ309" s="2"/>
      <c r="AK309" s="2"/>
      <c r="AL309" s="2"/>
      <c r="AM309" s="2"/>
      <c r="AN309" s="2"/>
      <c r="AO309" s="2"/>
      <c r="AP309" s="2"/>
      <c r="AZ309" s="48" t="s">
        <v>540</v>
      </c>
      <c r="BA309" s="22" t="s">
        <v>203</v>
      </c>
      <c r="BB309" s="106">
        <v>1</v>
      </c>
      <c r="BC309" s="230">
        <f>IF($G$17&lt;=450,BB316,(IF($G$17&lt;=600,BB317,(IF($G$17&lt;=750,BB318,(IF($G$17&lt;=1000,BB319,(IF($G$17&lt;=1500,BB320,(IF($G$17&gt;1500,BB321)))))))))))</f>
        <v>200</v>
      </c>
      <c r="BD309" s="104">
        <f>BB309*BC309</f>
        <v>200</v>
      </c>
      <c r="BE309" s="443" t="s">
        <v>41</v>
      </c>
      <c r="BF309" s="2"/>
      <c r="BG309" s="2"/>
      <c r="BH309" s="2"/>
      <c r="BI309" s="2"/>
      <c r="BJ309" s="2"/>
      <c r="BT309" s="18"/>
      <c r="BU309" s="32"/>
      <c r="BV309" s="32"/>
      <c r="BW309" s="32"/>
      <c r="BX309" s="122"/>
      <c r="BY309" s="122"/>
      <c r="BZ309" s="122"/>
      <c r="CA309" s="122"/>
      <c r="CB309" s="122"/>
      <c r="CC309" s="122"/>
      <c r="CD309" s="122"/>
      <c r="CE309" s="18"/>
    </row>
    <row r="310" spans="26:83" ht="12" customHeight="1" thickBot="1" x14ac:dyDescent="0.25">
      <c r="AD310" s="2"/>
      <c r="AE310" s="140" t="s">
        <v>571</v>
      </c>
      <c r="AF310" s="141">
        <v>75</v>
      </c>
      <c r="AG310" s="197">
        <v>140</v>
      </c>
      <c r="AH310" s="139">
        <f t="shared" si="42"/>
        <v>215</v>
      </c>
      <c r="AI310" s="2"/>
      <c r="AJ310" s="2"/>
      <c r="AK310" s="2"/>
      <c r="AL310" s="2"/>
      <c r="AM310" s="2"/>
      <c r="AN310" s="2"/>
      <c r="AO310" s="2"/>
      <c r="AP310" s="2"/>
      <c r="AZ310" s="48" t="s">
        <v>541</v>
      </c>
      <c r="BA310" s="22" t="s">
        <v>112</v>
      </c>
      <c r="BB310" s="106">
        <v>1</v>
      </c>
      <c r="BC310" s="300">
        <f>IF($G$17&lt;=400,BC316,(IF($G$17&lt;=550,BC317,(IF($G$17&lt;=700,BC318,(IF($G$17&lt;=1000,BC319,(IF($G$17&lt;=1500,BC320,(IF($G$17&gt;1500,BC321)))))))))))</f>
        <v>100</v>
      </c>
      <c r="BD310" s="112">
        <f>BB310*BC310</f>
        <v>100</v>
      </c>
      <c r="BE310" s="260"/>
      <c r="BF310" s="2"/>
      <c r="BG310" s="2"/>
      <c r="BH310" s="2"/>
      <c r="BI310" s="2"/>
      <c r="BJ310" s="2"/>
      <c r="BK310" s="18"/>
      <c r="BT310" s="18"/>
      <c r="BU310" s="945" t="s">
        <v>102</v>
      </c>
      <c r="BV310" s="946"/>
      <c r="BW310" s="946"/>
      <c r="BX310" s="947"/>
      <c r="BY310" s="122"/>
      <c r="BZ310" s="122"/>
      <c r="CA310" s="122"/>
      <c r="CB310" s="122"/>
      <c r="CC310" s="122"/>
      <c r="CD310" s="122"/>
      <c r="CE310" s="18"/>
    </row>
    <row r="311" spans="26:83" ht="12" customHeight="1" thickBot="1" x14ac:dyDescent="0.25">
      <c r="AD311" s="2"/>
      <c r="AE311" s="494" t="s">
        <v>575</v>
      </c>
      <c r="AF311" s="511">
        <v>75</v>
      </c>
      <c r="AG311" s="505">
        <v>280</v>
      </c>
      <c r="AH311" s="506">
        <f t="shared" si="42"/>
        <v>355</v>
      </c>
      <c r="AI311" s="2"/>
      <c r="AJ311" s="2"/>
      <c r="AK311" s="2"/>
      <c r="AL311" s="2"/>
      <c r="AM311" s="2"/>
      <c r="AN311" s="2"/>
      <c r="AO311" s="2"/>
      <c r="AP311" s="2"/>
      <c r="AZ311" s="48"/>
      <c r="BA311" s="22"/>
      <c r="BB311" s="80"/>
      <c r="BC311" s="80"/>
      <c r="BD311" s="73"/>
      <c r="BE311" s="2"/>
      <c r="BF311" s="2"/>
      <c r="BG311" s="2"/>
      <c r="BH311" s="2"/>
      <c r="BI311" s="2"/>
      <c r="BJ311" s="2"/>
      <c r="BK311" s="18"/>
      <c r="BT311" s="60"/>
      <c r="BU311" s="173" t="s">
        <v>103</v>
      </c>
      <c r="BV311" s="227" t="s">
        <v>205</v>
      </c>
      <c r="BW311" s="227" t="s">
        <v>206</v>
      </c>
      <c r="BX311" s="228" t="s">
        <v>179</v>
      </c>
      <c r="BY311" s="122"/>
      <c r="BZ311" s="122"/>
      <c r="CA311" s="122"/>
      <c r="CB311" s="122"/>
      <c r="CC311" s="122"/>
      <c r="CD311" s="122"/>
      <c r="CE311" s="18"/>
    </row>
    <row r="312" spans="26:83" ht="12" customHeight="1" thickBot="1" x14ac:dyDescent="0.25">
      <c r="AD312" s="2"/>
      <c r="AE312" s="948" t="s">
        <v>110</v>
      </c>
      <c r="AF312" s="949"/>
      <c r="AG312" s="949"/>
      <c r="AH312" s="950"/>
      <c r="AI312" s="2"/>
      <c r="AJ312" s="2"/>
      <c r="AK312" s="2"/>
      <c r="AL312" s="2"/>
      <c r="AM312" s="2"/>
      <c r="AN312" s="2"/>
      <c r="AO312" s="2"/>
      <c r="AP312" s="2"/>
      <c r="AZ312" s="44" t="s">
        <v>204</v>
      </c>
      <c r="BA312" s="45"/>
      <c r="BB312" s="184"/>
      <c r="BC312" s="184"/>
      <c r="BD312" s="185">
        <f>SUM(BD309:BD310)</f>
        <v>300</v>
      </c>
      <c r="BE312" s="2"/>
      <c r="BF312" s="2"/>
      <c r="BG312" s="2"/>
      <c r="BH312" s="2"/>
      <c r="BI312" s="2"/>
      <c r="BJ312" s="2"/>
      <c r="BK312" s="18"/>
      <c r="BT312" s="18"/>
      <c r="BU312" s="176" t="s">
        <v>104</v>
      </c>
      <c r="BV312" s="197">
        <v>200</v>
      </c>
      <c r="BW312" s="197">
        <v>100</v>
      </c>
      <c r="BX312" s="139">
        <f>SUM(BV312:BW312)</f>
        <v>300</v>
      </c>
      <c r="BY312" s="18"/>
      <c r="BZ312" s="18"/>
      <c r="CA312" s="18"/>
      <c r="CB312" s="18"/>
      <c r="CC312" s="18"/>
      <c r="CD312" s="18"/>
      <c r="CE312" s="18"/>
    </row>
    <row r="313" spans="26:83" ht="12" customHeight="1" thickBot="1" x14ac:dyDescent="0.25">
      <c r="AD313" s="2"/>
      <c r="AI313" s="2"/>
      <c r="AJ313" s="2"/>
      <c r="AK313" s="2"/>
      <c r="AL313" s="2"/>
      <c r="AM313" s="2"/>
      <c r="AN313" s="2"/>
      <c r="AO313" s="2"/>
      <c r="AP313" s="2"/>
      <c r="AZ313" s="18"/>
      <c r="BA313" s="32"/>
      <c r="BB313" s="32"/>
      <c r="BC313" s="32"/>
      <c r="BD313" s="122"/>
      <c r="BE313" s="122"/>
      <c r="BF313" s="122"/>
      <c r="BG313" s="122"/>
      <c r="BH313" s="122"/>
      <c r="BI313" s="122"/>
      <c r="BJ313" s="122"/>
      <c r="BK313" s="18"/>
      <c r="BT313" s="117"/>
      <c r="BU313" s="179" t="s">
        <v>105</v>
      </c>
      <c r="BV313" s="197">
        <v>300</v>
      </c>
      <c r="BW313" s="197">
        <v>100</v>
      </c>
      <c r="BX313" s="139">
        <f t="shared" ref="BX313:BX317" si="43">SUM(BV313:BW313)</f>
        <v>400</v>
      </c>
      <c r="BY313" s="117"/>
      <c r="BZ313" s="117"/>
      <c r="CA313" s="117"/>
      <c r="CB313" s="117"/>
      <c r="CC313" s="117"/>
      <c r="CD313" s="117"/>
      <c r="CE313" s="117"/>
    </row>
    <row r="314" spans="26:83" ht="12" customHeight="1" thickBot="1" x14ac:dyDescent="0.25">
      <c r="AD314" s="2"/>
      <c r="AE314" s="2"/>
      <c r="AF314" s="2"/>
      <c r="AG314" s="2"/>
      <c r="AH314" s="2"/>
      <c r="AI314" s="2"/>
      <c r="AJ314" s="2"/>
      <c r="AK314" s="2"/>
      <c r="AZ314" s="18"/>
      <c r="BA314" s="945" t="s">
        <v>102</v>
      </c>
      <c r="BB314" s="946"/>
      <c r="BC314" s="946"/>
      <c r="BD314" s="947"/>
      <c r="BE314" s="122"/>
      <c r="BF314" s="122"/>
      <c r="BG314" s="122"/>
      <c r="BH314" s="122"/>
      <c r="BI314" s="122"/>
      <c r="BJ314" s="122"/>
      <c r="BK314" s="18"/>
      <c r="BT314" s="117"/>
      <c r="BU314" s="179" t="s">
        <v>106</v>
      </c>
      <c r="BV314" s="197">
        <v>400</v>
      </c>
      <c r="BW314" s="197">
        <v>100</v>
      </c>
      <c r="BX314" s="139">
        <f t="shared" si="43"/>
        <v>500</v>
      </c>
      <c r="BY314" s="117"/>
      <c r="BZ314" s="117"/>
      <c r="CA314" s="117"/>
      <c r="CB314" s="117"/>
      <c r="CC314" s="117"/>
      <c r="CD314" s="117"/>
      <c r="CE314" s="117"/>
    </row>
    <row r="315" spans="26:83" ht="12" customHeight="1" thickBot="1" x14ac:dyDescent="0.25">
      <c r="AD315" s="2"/>
      <c r="AE315" s="2"/>
      <c r="AF315" s="2"/>
      <c r="AG315" s="2"/>
      <c r="AH315" s="2"/>
      <c r="AI315" s="2"/>
      <c r="AJ315" s="2"/>
      <c r="AK315" s="2"/>
      <c r="AZ315" s="60"/>
      <c r="BA315" s="173" t="s">
        <v>103</v>
      </c>
      <c r="BB315" s="227" t="s">
        <v>205</v>
      </c>
      <c r="BC315" s="227" t="s">
        <v>206</v>
      </c>
      <c r="BD315" s="228" t="s">
        <v>179</v>
      </c>
      <c r="BE315" s="122"/>
      <c r="BF315" s="122"/>
      <c r="BG315" s="122"/>
      <c r="BH315" s="122"/>
      <c r="BI315" s="122"/>
      <c r="BJ315" s="122"/>
      <c r="BK315" s="18"/>
      <c r="BT315" s="117"/>
      <c r="BU315" s="179" t="s">
        <v>107</v>
      </c>
      <c r="BV315" s="197">
        <v>600</v>
      </c>
      <c r="BW315" s="197">
        <v>100</v>
      </c>
      <c r="BX315" s="139">
        <f t="shared" si="43"/>
        <v>700</v>
      </c>
      <c r="BY315" s="117"/>
      <c r="BZ315" s="117"/>
      <c r="CA315" s="117"/>
      <c r="CB315" s="117"/>
      <c r="CC315" s="117"/>
      <c r="CD315" s="117"/>
      <c r="CE315" s="117"/>
    </row>
    <row r="316" spans="26:83" ht="12" customHeight="1" x14ac:dyDescent="0.2">
      <c r="AD316" s="977" t="s">
        <v>837</v>
      </c>
      <c r="AE316" s="978"/>
      <c r="AF316" s="978"/>
      <c r="AG316" s="978"/>
      <c r="AH316" s="979"/>
      <c r="AI316" s="2"/>
      <c r="AJ316" s="2"/>
      <c r="AK316" s="2"/>
      <c r="AZ316" s="18"/>
      <c r="BA316" s="137" t="s">
        <v>458</v>
      </c>
      <c r="BB316" s="197">
        <v>200</v>
      </c>
      <c r="BC316" s="197">
        <v>100</v>
      </c>
      <c r="BD316" s="139">
        <f>SUM(BB316:BC316)</f>
        <v>300</v>
      </c>
      <c r="BE316" s="18"/>
      <c r="BF316" s="18"/>
      <c r="BG316" s="18"/>
      <c r="BH316" s="18"/>
      <c r="BI316" s="18"/>
      <c r="BJ316" s="18"/>
      <c r="BK316" s="18"/>
      <c r="BT316" s="117"/>
      <c r="BU316" s="179" t="s">
        <v>108</v>
      </c>
      <c r="BV316" s="197">
        <v>800</v>
      </c>
      <c r="BW316" s="197">
        <v>100</v>
      </c>
      <c r="BX316" s="139">
        <f t="shared" si="43"/>
        <v>900</v>
      </c>
      <c r="BY316" s="117"/>
      <c r="BZ316" s="117"/>
      <c r="CA316" s="117"/>
      <c r="CB316" s="117"/>
      <c r="CC316" s="117"/>
      <c r="CD316" s="117"/>
      <c r="CE316" s="117"/>
    </row>
    <row r="317" spans="26:83" ht="12" customHeight="1" thickBot="1" x14ac:dyDescent="0.25">
      <c r="AD317" s="980"/>
      <c r="AE317" s="981"/>
      <c r="AF317" s="981"/>
      <c r="AG317" s="981"/>
      <c r="AH317" s="982"/>
      <c r="AI317" s="2"/>
      <c r="AJ317" s="2"/>
      <c r="AK317" s="2"/>
      <c r="AL317" s="2"/>
      <c r="AM317" s="2"/>
      <c r="AN317" s="2"/>
      <c r="AO317" s="18"/>
      <c r="AZ317" s="117"/>
      <c r="BA317" s="140" t="s">
        <v>459</v>
      </c>
      <c r="BB317" s="197">
        <v>300</v>
      </c>
      <c r="BC317" s="197">
        <v>100</v>
      </c>
      <c r="BD317" s="139">
        <f t="shared" ref="BD317:BD321" si="44">SUM(BB317:BC317)</f>
        <v>400</v>
      </c>
      <c r="BE317" s="117"/>
      <c r="BF317" s="117"/>
      <c r="BG317" s="117"/>
      <c r="BH317" s="117"/>
      <c r="BI317" s="117"/>
      <c r="BJ317" s="117"/>
      <c r="BK317" s="117"/>
      <c r="BT317" s="117"/>
      <c r="BU317" s="176" t="s">
        <v>109</v>
      </c>
      <c r="BV317" s="199">
        <v>800</v>
      </c>
      <c r="BW317" s="199">
        <v>100</v>
      </c>
      <c r="BX317" s="144">
        <f t="shared" si="43"/>
        <v>900</v>
      </c>
      <c r="BY317" s="122"/>
      <c r="BZ317" s="122"/>
      <c r="CA317" s="122"/>
      <c r="CB317" s="122"/>
      <c r="CC317" s="122"/>
      <c r="CD317" s="122"/>
      <c r="CE317" s="117"/>
    </row>
    <row r="318" spans="26:83" ht="12" customHeight="1" thickBot="1" x14ac:dyDescent="0.25">
      <c r="AD318" s="310"/>
      <c r="AE318" s="96"/>
      <c r="AF318" s="473" t="s">
        <v>33</v>
      </c>
      <c r="AG318" s="474"/>
      <c r="AH318" s="311"/>
      <c r="AI318" s="2"/>
      <c r="AJ318" s="2"/>
      <c r="AK318" s="2"/>
      <c r="AL318" s="2"/>
      <c r="AM318" s="2"/>
      <c r="AN318" s="2"/>
      <c r="AO318" s="18"/>
      <c r="AZ318" s="117"/>
      <c r="BA318" s="140" t="s">
        <v>456</v>
      </c>
      <c r="BB318" s="197">
        <v>400</v>
      </c>
      <c r="BC318" s="197">
        <v>100</v>
      </c>
      <c r="BD318" s="139">
        <f t="shared" si="44"/>
        <v>500</v>
      </c>
      <c r="BE318" s="117"/>
      <c r="BF318" s="117"/>
      <c r="BG318" s="117"/>
      <c r="BH318" s="117"/>
      <c r="BI318" s="117"/>
      <c r="BJ318" s="117"/>
      <c r="BK318" s="117"/>
      <c r="BT318" s="117"/>
      <c r="BU318" s="470" t="s">
        <v>110</v>
      </c>
      <c r="BV318" s="471"/>
      <c r="BW318" s="471"/>
      <c r="BX318" s="472"/>
      <c r="BY318" s="122"/>
      <c r="BZ318" s="122"/>
      <c r="CA318" s="122"/>
      <c r="CB318" s="122"/>
      <c r="CC318" s="122"/>
      <c r="CD318" s="122"/>
      <c r="CE318" s="117"/>
    </row>
    <row r="319" spans="26:83" ht="12" customHeight="1" thickBot="1" x14ac:dyDescent="0.25">
      <c r="AD319" s="312" t="s">
        <v>121</v>
      </c>
      <c r="AE319" s="99"/>
      <c r="AF319" s="100" t="s">
        <v>122</v>
      </c>
      <c r="AG319" s="100" t="s">
        <v>38</v>
      </c>
      <c r="AH319" s="313" t="s">
        <v>123</v>
      </c>
      <c r="AI319" s="2"/>
      <c r="AJ319" s="2"/>
      <c r="AK319" s="2"/>
      <c r="AL319" s="2"/>
      <c r="AM319" s="2"/>
      <c r="AN319" s="2"/>
      <c r="AO319" s="18"/>
      <c r="AZ319" s="117"/>
      <c r="BA319" s="140" t="s">
        <v>457</v>
      </c>
      <c r="BB319" s="197">
        <v>600</v>
      </c>
      <c r="BC319" s="197">
        <v>100</v>
      </c>
      <c r="BD319" s="139">
        <f t="shared" si="44"/>
        <v>700</v>
      </c>
      <c r="BE319" s="117"/>
      <c r="BF319" s="117"/>
      <c r="BG319" s="117"/>
      <c r="BH319" s="117"/>
      <c r="BI319" s="117"/>
      <c r="BJ319" s="117"/>
      <c r="BK319" s="117"/>
      <c r="BT319" s="117"/>
      <c r="BX319" s="122"/>
      <c r="BY319" s="122"/>
      <c r="BZ319" s="122"/>
      <c r="CA319" s="122"/>
      <c r="CB319" s="122"/>
      <c r="CC319" s="122"/>
      <c r="CD319" s="122"/>
      <c r="CE319" s="117"/>
    </row>
    <row r="320" spans="26:83" ht="12" customHeight="1" x14ac:dyDescent="0.2">
      <c r="Z320" s="483"/>
      <c r="AA320" s="439" t="s">
        <v>776</v>
      </c>
      <c r="AB320" s="449"/>
      <c r="AD320" s="404" t="s">
        <v>838</v>
      </c>
      <c r="AE320" s="22" t="s">
        <v>203</v>
      </c>
      <c r="AF320" s="106">
        <v>1</v>
      </c>
      <c r="AG320" s="230">
        <f>IF($G$19=0,0,IF($G$19&lt;=450,AF327,(IF($G$19&lt;=800,AF328,(IF($G$19&lt;=1200,AF329,(IF($G$19&lt;=1600,AF330,(IF($G$19&gt;1600,AF331))))))))))</f>
        <v>400</v>
      </c>
      <c r="AH320" s="315">
        <f>AF320*AG320</f>
        <v>400</v>
      </c>
      <c r="AI320" s="507"/>
      <c r="AJ320" s="2"/>
      <c r="AK320" s="2"/>
      <c r="AL320" s="2"/>
      <c r="AM320" s="2"/>
      <c r="AN320" s="2"/>
      <c r="AZ320" s="117"/>
      <c r="BA320" s="140" t="s">
        <v>108</v>
      </c>
      <c r="BB320" s="197">
        <v>800</v>
      </c>
      <c r="BC320" s="197">
        <v>100</v>
      </c>
      <c r="BD320" s="139">
        <f t="shared" si="44"/>
        <v>900</v>
      </c>
      <c r="BE320" s="117"/>
      <c r="BF320" s="117"/>
      <c r="BG320" s="117"/>
      <c r="BH320" s="117"/>
      <c r="BI320" s="117"/>
      <c r="BJ320" s="117"/>
      <c r="BK320" s="117"/>
    </row>
    <row r="321" spans="26:86" ht="12" customHeight="1" thickBot="1" x14ac:dyDescent="0.25">
      <c r="Z321" s="484"/>
      <c r="AA321" s="485"/>
      <c r="AB321" s="486"/>
      <c r="AD321" s="404" t="s">
        <v>839</v>
      </c>
      <c r="AE321" s="22" t="s">
        <v>112</v>
      </c>
      <c r="AF321" s="106">
        <v>1</v>
      </c>
      <c r="AG321" s="300">
        <f>IF($G$19=0,0,100)</f>
        <v>100</v>
      </c>
      <c r="AH321" s="316">
        <f>AF321*AG321</f>
        <v>100</v>
      </c>
      <c r="AI321" s="3"/>
      <c r="AJ321" s="2"/>
      <c r="AK321" s="2"/>
      <c r="AL321" s="2"/>
      <c r="AM321" s="2"/>
      <c r="AN321" s="2"/>
      <c r="AO321" s="18"/>
      <c r="AZ321" s="117"/>
      <c r="BA321" s="142" t="s">
        <v>109</v>
      </c>
      <c r="BB321" s="199">
        <v>800</v>
      </c>
      <c r="BC321" s="199">
        <v>100</v>
      </c>
      <c r="BD321" s="144">
        <f t="shared" si="44"/>
        <v>900</v>
      </c>
      <c r="BE321" s="122"/>
      <c r="BF321" s="122"/>
      <c r="BG321" s="122"/>
      <c r="BH321" s="122"/>
      <c r="BI321" s="122"/>
      <c r="BJ321" s="122"/>
      <c r="BK321" s="117"/>
      <c r="BT321" s="122"/>
      <c r="BU321" s="122"/>
      <c r="BV321" s="122"/>
      <c r="BW321" s="122"/>
      <c r="BX321" s="122"/>
      <c r="BY321" s="122"/>
      <c r="BZ321" s="122"/>
      <c r="CA321" s="122"/>
      <c r="CB321" s="122"/>
      <c r="CC321" s="122"/>
      <c r="CD321" s="122"/>
      <c r="CE321" s="122"/>
      <c r="CF321" s="122"/>
      <c r="CG321" s="122"/>
      <c r="CH321" s="122"/>
    </row>
    <row r="322" spans="26:86" ht="12" customHeight="1" thickBot="1" x14ac:dyDescent="0.25">
      <c r="Z322" s="487"/>
      <c r="AA322" s="488"/>
      <c r="AB322" s="489"/>
      <c r="AD322" s="376"/>
      <c r="AE322" s="22"/>
      <c r="AF322" s="80"/>
      <c r="AG322" s="80"/>
      <c r="AH322" s="318"/>
      <c r="AI322" s="2"/>
      <c r="AJ322" s="2"/>
      <c r="AK322" s="2"/>
      <c r="AL322" s="2"/>
      <c r="AM322" s="2"/>
      <c r="AN322" s="2"/>
      <c r="AO322" s="18"/>
      <c r="AZ322" s="117"/>
      <c r="BA322" s="948" t="s">
        <v>110</v>
      </c>
      <c r="BB322" s="949"/>
      <c r="BC322" s="949"/>
      <c r="BD322" s="950"/>
      <c r="BE322" s="122"/>
      <c r="BF322" s="122"/>
      <c r="BG322" s="122"/>
      <c r="BH322" s="122"/>
      <c r="BI322" s="122"/>
      <c r="BJ322" s="122"/>
      <c r="BK322" s="117"/>
      <c r="BT322" s="122"/>
      <c r="BU322" s="122"/>
      <c r="BV322" s="122"/>
      <c r="BW322" s="122"/>
      <c r="BX322" s="122"/>
      <c r="BY322" s="122"/>
      <c r="BZ322" s="122"/>
      <c r="CA322" s="122"/>
      <c r="CB322" s="122"/>
      <c r="CC322" s="122"/>
      <c r="CD322" s="122"/>
      <c r="CE322" s="122"/>
      <c r="CF322" s="122"/>
      <c r="CG322" s="122"/>
      <c r="CH322" s="122"/>
    </row>
    <row r="323" spans="26:86" ht="12" customHeight="1" thickBot="1" x14ac:dyDescent="0.25">
      <c r="Z323" s="490"/>
      <c r="AA323" s="448">
        <f>AH323</f>
        <v>500</v>
      </c>
      <c r="AB323" s="449"/>
      <c r="AD323" s="379" t="s">
        <v>204</v>
      </c>
      <c r="AE323" s="320"/>
      <c r="AF323" s="321"/>
      <c r="AG323" s="321"/>
      <c r="AH323" s="322">
        <f>SUM(AH320:AH321)</f>
        <v>500</v>
      </c>
      <c r="AI323" s="2"/>
      <c r="AJ323" s="2"/>
      <c r="AK323" s="2"/>
      <c r="AL323" s="2"/>
      <c r="AM323" s="2"/>
      <c r="AN323" s="2"/>
      <c r="AO323" s="18"/>
      <c r="AZ323" s="117"/>
      <c r="BD323" s="122"/>
      <c r="BE323" s="122"/>
      <c r="BF323" s="122"/>
      <c r="BG323" s="122"/>
      <c r="BH323" s="122"/>
      <c r="BI323" s="122"/>
      <c r="BJ323" s="122"/>
      <c r="BK323" s="117"/>
      <c r="BT323" s="122"/>
      <c r="BU323" s="122"/>
      <c r="BV323" s="122"/>
      <c r="BW323" s="122"/>
      <c r="BX323" s="122"/>
      <c r="BY323" s="122"/>
      <c r="BZ323" s="122"/>
      <c r="CA323" s="122"/>
      <c r="CB323" s="122"/>
      <c r="CC323" s="122"/>
      <c r="CD323" s="122"/>
      <c r="CE323" s="122"/>
      <c r="CF323" s="122"/>
      <c r="CG323" s="122"/>
      <c r="CH323" s="122"/>
    </row>
    <row r="324" spans="26:86" ht="12" customHeight="1" thickBot="1" x14ac:dyDescent="0.25">
      <c r="AD324" s="18"/>
      <c r="AE324" s="32"/>
      <c r="AF324" s="32"/>
      <c r="AG324" s="32"/>
      <c r="AH324" s="122"/>
      <c r="AI324" s="122"/>
      <c r="AJ324" s="122"/>
      <c r="AK324" s="122"/>
      <c r="AL324" s="122"/>
      <c r="AM324" s="122"/>
      <c r="AN324" s="122"/>
      <c r="AO324" s="18"/>
      <c r="AZ324" s="122"/>
      <c r="BA324" s="122"/>
      <c r="BB324" s="122"/>
      <c r="BC324" s="122"/>
      <c r="BD324" s="122"/>
      <c r="BE324" s="122"/>
      <c r="BF324" s="122"/>
      <c r="BG324" s="122"/>
      <c r="BH324" s="122"/>
      <c r="BI324" s="122"/>
      <c r="BJ324" s="122"/>
      <c r="BK324" s="122"/>
      <c r="BL324" s="122"/>
      <c r="BM324" s="122"/>
      <c r="BT324" s="122"/>
      <c r="BU324" s="122"/>
      <c r="BV324" s="122"/>
      <c r="BW324" s="122"/>
      <c r="BX324" s="122"/>
      <c r="BY324" s="122"/>
      <c r="BZ324" s="122"/>
      <c r="CA324" s="122"/>
      <c r="CB324" s="122"/>
      <c r="CC324" s="122"/>
      <c r="CD324" s="122"/>
      <c r="CE324" s="122"/>
      <c r="CF324" s="122"/>
      <c r="CG324" s="122"/>
      <c r="CH324" s="122"/>
    </row>
    <row r="325" spans="26:86" ht="12" customHeight="1" thickBot="1" x14ac:dyDescent="0.25">
      <c r="AD325" s="18"/>
      <c r="AE325" s="987" t="s">
        <v>102</v>
      </c>
      <c r="AF325" s="989"/>
      <c r="AG325" s="122"/>
      <c r="AH325" s="122"/>
      <c r="AI325" s="122"/>
      <c r="AJ325" s="122"/>
      <c r="AK325" s="122"/>
      <c r="AL325" s="122"/>
      <c r="AM325" s="122"/>
      <c r="AN325" s="122"/>
      <c r="AO325" s="18"/>
      <c r="AZ325" s="122"/>
      <c r="BA325" s="122"/>
      <c r="BB325" s="122"/>
      <c r="BC325" s="122"/>
      <c r="BD325" s="122"/>
      <c r="BE325" s="122"/>
      <c r="BF325" s="122"/>
      <c r="BG325" s="122"/>
      <c r="BH325" s="122"/>
      <c r="BI325" s="122"/>
      <c r="BJ325" s="122"/>
      <c r="BK325" s="122"/>
      <c r="BL325" s="122"/>
      <c r="BM325" s="122"/>
      <c r="BT325" s="122"/>
      <c r="BU325" s="122"/>
      <c r="BV325" s="122"/>
      <c r="BW325" s="122"/>
      <c r="BX325" s="122"/>
      <c r="BY325" s="122"/>
      <c r="BZ325" s="122"/>
      <c r="CA325" s="122"/>
      <c r="CB325" s="122"/>
      <c r="CC325" s="122"/>
      <c r="CD325" s="122"/>
      <c r="CE325" s="122"/>
      <c r="CF325" s="122"/>
      <c r="CG325" s="122"/>
      <c r="CH325" s="122"/>
    </row>
    <row r="326" spans="26:86" ht="12" customHeight="1" thickBot="1" x14ac:dyDescent="0.25">
      <c r="AD326" s="60"/>
      <c r="AE326" s="301" t="s">
        <v>103</v>
      </c>
      <c r="AF326" s="508" t="s">
        <v>205</v>
      </c>
      <c r="AG326" s="122"/>
      <c r="AH326" s="122"/>
      <c r="AI326" s="122"/>
      <c r="AJ326" s="122"/>
      <c r="AK326" s="122"/>
      <c r="AL326" s="122"/>
      <c r="AM326" s="122"/>
      <c r="AN326" s="122"/>
      <c r="AO326" s="18"/>
      <c r="AZ326" s="122"/>
      <c r="BA326" s="122"/>
      <c r="BB326" s="122"/>
      <c r="BC326" s="122"/>
      <c r="BD326" s="122"/>
      <c r="BE326" s="122"/>
      <c r="BF326" s="122"/>
      <c r="BG326" s="122"/>
      <c r="BH326" s="122"/>
      <c r="BI326" s="122"/>
      <c r="BJ326" s="122"/>
      <c r="BK326" s="122"/>
      <c r="BL326" s="122"/>
      <c r="BM326" s="122"/>
      <c r="BT326" s="122"/>
      <c r="BU326" s="122"/>
      <c r="BV326" s="122"/>
      <c r="BW326" s="122"/>
      <c r="BX326" s="122"/>
      <c r="BY326" s="122"/>
      <c r="BZ326" s="122"/>
      <c r="CA326" s="122"/>
      <c r="CB326" s="122"/>
      <c r="CC326" s="122"/>
      <c r="CD326" s="122"/>
      <c r="CE326" s="122"/>
      <c r="CF326" s="122"/>
      <c r="CG326" s="122"/>
      <c r="CH326" s="122"/>
    </row>
    <row r="327" spans="26:86" ht="12" customHeight="1" x14ac:dyDescent="0.2">
      <c r="AD327" s="18"/>
      <c r="AE327" s="302" t="s">
        <v>458</v>
      </c>
      <c r="AF327" s="509">
        <v>200</v>
      </c>
      <c r="AG327" s="122"/>
      <c r="AH327" s="122"/>
      <c r="AI327" s="122"/>
      <c r="AJ327" s="18"/>
      <c r="AK327" s="18"/>
      <c r="AL327" s="18"/>
      <c r="AM327" s="18"/>
      <c r="AN327" s="18"/>
      <c r="AO327" s="18"/>
      <c r="AZ327" s="122"/>
      <c r="BA327" s="122"/>
      <c r="BB327" s="122"/>
      <c r="BC327" s="122"/>
      <c r="BD327" s="122"/>
      <c r="BE327" s="122"/>
      <c r="BF327" s="122"/>
      <c r="BG327" s="122"/>
      <c r="BH327" s="122"/>
      <c r="BI327" s="122"/>
      <c r="BJ327" s="122"/>
      <c r="BK327" s="122"/>
      <c r="BL327" s="122"/>
      <c r="BM327" s="122"/>
      <c r="BT327" s="122"/>
      <c r="BU327" s="122"/>
      <c r="BV327" s="122"/>
      <c r="BW327" s="122"/>
      <c r="BX327" s="122"/>
      <c r="BY327" s="122"/>
      <c r="BZ327" s="122"/>
      <c r="CA327" s="122"/>
      <c r="CB327" s="122"/>
      <c r="CC327" s="122"/>
      <c r="CD327" s="122"/>
      <c r="CE327" s="122"/>
      <c r="CF327" s="122"/>
      <c r="CG327" s="122"/>
      <c r="CH327" s="122"/>
    </row>
    <row r="328" spans="26:86" ht="12" customHeight="1" x14ac:dyDescent="0.2">
      <c r="AD328" s="117"/>
      <c r="AE328" s="303" t="s">
        <v>569</v>
      </c>
      <c r="AF328" s="509">
        <v>400</v>
      </c>
      <c r="AG328" s="122"/>
      <c r="AH328" s="122"/>
      <c r="AI328" s="122"/>
      <c r="AJ328" s="117"/>
      <c r="AK328" s="117"/>
      <c r="AL328" s="117"/>
      <c r="AM328" s="117"/>
      <c r="AN328" s="117"/>
      <c r="AO328" s="117"/>
      <c r="AZ328" s="122"/>
      <c r="BA328" s="122"/>
      <c r="BB328" s="122"/>
      <c r="BC328" s="122"/>
      <c r="BD328" s="122"/>
      <c r="BE328" s="122"/>
      <c r="BF328" s="122"/>
      <c r="BG328" s="122"/>
      <c r="BH328" s="122"/>
      <c r="BI328" s="122"/>
      <c r="BJ328" s="122"/>
      <c r="BK328" s="122"/>
      <c r="BL328" s="122"/>
      <c r="BM328" s="122"/>
      <c r="BT328" s="122"/>
      <c r="BU328" s="122"/>
      <c r="BV328" s="122"/>
      <c r="BW328" s="122"/>
      <c r="BX328" s="122"/>
      <c r="BY328" s="122"/>
      <c r="BZ328" s="122"/>
      <c r="CA328" s="122"/>
      <c r="CB328" s="122"/>
      <c r="CC328" s="122"/>
      <c r="CD328" s="122"/>
      <c r="CE328" s="122"/>
      <c r="CF328" s="122"/>
      <c r="CG328" s="122"/>
      <c r="CH328" s="122"/>
    </row>
    <row r="329" spans="26:86" ht="12" customHeight="1" x14ac:dyDescent="0.2">
      <c r="AD329" s="117"/>
      <c r="AE329" s="303" t="s">
        <v>570</v>
      </c>
      <c r="AF329" s="509">
        <v>400</v>
      </c>
      <c r="AG329" s="122"/>
      <c r="AH329" s="122"/>
      <c r="AI329" s="122"/>
      <c r="AJ329" s="117"/>
      <c r="AK329" s="117"/>
      <c r="AL329" s="117"/>
      <c r="AM329" s="117"/>
      <c r="AN329" s="117"/>
      <c r="AO329" s="117"/>
      <c r="AZ329" s="122"/>
      <c r="BA329" s="122"/>
      <c r="BB329" s="122"/>
      <c r="BC329" s="122"/>
      <c r="BD329" s="122"/>
      <c r="BE329" s="122"/>
      <c r="BF329" s="122"/>
      <c r="BG329" s="122"/>
      <c r="BH329" s="122"/>
      <c r="BI329" s="122"/>
      <c r="BJ329" s="122"/>
      <c r="BK329" s="122"/>
      <c r="BL329" s="122"/>
      <c r="BM329" s="122"/>
      <c r="BT329" s="122"/>
      <c r="BU329" s="122"/>
      <c r="BV329" s="122"/>
      <c r="BW329" s="122"/>
      <c r="BX329" s="122"/>
      <c r="BY329" s="122"/>
      <c r="BZ329" s="122"/>
      <c r="CA329" s="122"/>
      <c r="CB329" s="122"/>
      <c r="CC329" s="122"/>
      <c r="CD329" s="122"/>
      <c r="CE329" s="122"/>
      <c r="CF329" s="122"/>
      <c r="CG329" s="122"/>
      <c r="CH329" s="122"/>
    </row>
    <row r="330" spans="26:86" ht="12" customHeight="1" x14ac:dyDescent="0.2">
      <c r="AD330" s="117"/>
      <c r="AE330" s="303" t="s">
        <v>571</v>
      </c>
      <c r="AF330" s="509">
        <v>400</v>
      </c>
      <c r="AG330" s="122"/>
      <c r="AH330" s="122"/>
      <c r="AI330" s="122"/>
      <c r="AJ330" s="117"/>
      <c r="AK330" s="117"/>
      <c r="AL330" s="117"/>
      <c r="AM330" s="117"/>
      <c r="AN330" s="117"/>
      <c r="AO330" s="117"/>
      <c r="AZ330" s="122"/>
      <c r="BA330" s="122"/>
      <c r="BB330" s="122"/>
      <c r="BC330" s="122"/>
      <c r="BD330" s="122"/>
      <c r="BE330" s="122"/>
      <c r="BF330" s="122"/>
      <c r="BG330" s="122"/>
      <c r="BH330" s="122"/>
      <c r="BI330" s="122"/>
      <c r="BJ330" s="122"/>
      <c r="BK330" s="122"/>
      <c r="BL330" s="122"/>
      <c r="BM330" s="122"/>
      <c r="BT330" s="122"/>
      <c r="BU330" s="122"/>
      <c r="BV330" s="122"/>
      <c r="BW330" s="122"/>
      <c r="BX330" s="122"/>
      <c r="BY330" s="122"/>
      <c r="BZ330" s="122"/>
      <c r="CA330" s="122"/>
      <c r="CB330" s="122"/>
      <c r="CC330" s="122"/>
      <c r="CD330" s="122"/>
      <c r="CE330" s="122"/>
      <c r="CF330" s="122"/>
      <c r="CG330" s="122"/>
      <c r="CH330" s="122"/>
    </row>
    <row r="331" spans="26:86" ht="12" customHeight="1" thickBot="1" x14ac:dyDescent="0.25">
      <c r="AD331" s="117"/>
      <c r="AE331" s="496" t="s">
        <v>575</v>
      </c>
      <c r="AF331" s="510">
        <v>800</v>
      </c>
      <c r="AG331" s="122"/>
      <c r="AH331" s="122"/>
      <c r="AI331" s="122"/>
      <c r="AJ331" s="117"/>
      <c r="AK331" s="117"/>
      <c r="AL331" s="117"/>
      <c r="AM331" s="117"/>
      <c r="AN331" s="117"/>
      <c r="AO331" s="117"/>
      <c r="AZ331" s="122"/>
      <c r="BA331" s="122"/>
      <c r="BB331" s="122"/>
      <c r="BC331" s="122"/>
      <c r="BD331" s="122"/>
      <c r="BE331" s="122"/>
      <c r="BF331" s="122"/>
      <c r="BG331" s="122"/>
      <c r="BH331" s="122"/>
      <c r="BI331" s="122"/>
      <c r="BJ331" s="122"/>
      <c r="BK331" s="122"/>
      <c r="BL331" s="122"/>
      <c r="BM331" s="122"/>
      <c r="BT331" s="122"/>
      <c r="BU331" s="122"/>
      <c r="BV331" s="122"/>
      <c r="BW331" s="122"/>
      <c r="BX331" s="122"/>
      <c r="BY331" s="122"/>
      <c r="BZ331" s="122"/>
      <c r="CA331" s="122"/>
      <c r="CB331" s="122"/>
      <c r="CC331" s="122"/>
      <c r="CD331" s="122"/>
      <c r="CE331" s="122"/>
      <c r="CF331" s="122"/>
      <c r="CG331" s="122"/>
      <c r="CH331" s="122"/>
    </row>
    <row r="332" spans="26:86" ht="12" customHeight="1" thickBot="1" x14ac:dyDescent="0.25">
      <c r="AD332" s="117"/>
      <c r="AE332" s="990" t="s">
        <v>110</v>
      </c>
      <c r="AF332" s="992"/>
      <c r="AG332" s="122"/>
      <c r="AH332" s="122"/>
      <c r="AI332" s="122"/>
      <c r="AJ332" s="122"/>
      <c r="AK332" s="122"/>
      <c r="AL332" s="122"/>
      <c r="AM332" s="122"/>
      <c r="AN332" s="122"/>
      <c r="AO332" s="117"/>
      <c r="AZ332" s="122"/>
      <c r="BA332" s="122"/>
      <c r="BB332" s="122"/>
      <c r="BC332" s="122"/>
      <c r="BD332" s="122"/>
      <c r="BE332" s="122"/>
      <c r="BF332" s="122"/>
      <c r="BG332" s="122"/>
      <c r="BH332" s="122"/>
      <c r="BI332" s="122"/>
      <c r="BJ332" s="122"/>
      <c r="BK332" s="122"/>
      <c r="BL332" s="122"/>
      <c r="BM332" s="122"/>
      <c r="BT332" s="122"/>
      <c r="BU332" s="122"/>
      <c r="BV332" s="122"/>
      <c r="BW332" s="122"/>
      <c r="BX332" s="122"/>
      <c r="BY332" s="122"/>
      <c r="BZ332" s="122"/>
      <c r="CA332" s="122"/>
      <c r="CB332" s="122"/>
      <c r="CC332" s="122"/>
      <c r="CD332" s="122"/>
      <c r="CE332" s="122"/>
      <c r="CF332" s="122"/>
      <c r="CG332" s="122"/>
      <c r="CH332" s="122"/>
    </row>
    <row r="333" spans="26:86" ht="12" customHeight="1" x14ac:dyDescent="0.2">
      <c r="AD333" s="117"/>
      <c r="AG333" s="122"/>
      <c r="AH333" s="122"/>
      <c r="AI333" s="122"/>
      <c r="AJ333" s="122"/>
      <c r="AK333" s="122"/>
      <c r="AL333" s="122"/>
      <c r="AM333" s="122"/>
      <c r="AN333" s="122"/>
      <c r="AO333" s="117"/>
      <c r="AZ333" s="122"/>
      <c r="BA333" s="122"/>
      <c r="BB333" s="122"/>
      <c r="BC333" s="122"/>
      <c r="BD333" s="122"/>
      <c r="BE333" s="122"/>
      <c r="BF333" s="122"/>
      <c r="BG333" s="122"/>
      <c r="BH333" s="122"/>
      <c r="BI333" s="122"/>
      <c r="BJ333" s="122"/>
      <c r="BK333" s="122"/>
      <c r="BL333" s="122"/>
      <c r="BM333" s="122"/>
      <c r="BT333" s="122"/>
      <c r="BU333" s="122"/>
      <c r="BV333" s="122"/>
      <c r="BW333" s="122"/>
      <c r="BX333" s="122"/>
      <c r="BY333" s="122"/>
      <c r="BZ333" s="122"/>
      <c r="CA333" s="122"/>
      <c r="CB333" s="122"/>
      <c r="CC333" s="122"/>
      <c r="CD333" s="122"/>
      <c r="CE333" s="122"/>
      <c r="CF333" s="122"/>
      <c r="CG333" s="122"/>
      <c r="CH333" s="122"/>
    </row>
    <row r="334" spans="26:86" ht="12" customHeight="1" x14ac:dyDescent="0.2">
      <c r="AD334" s="117"/>
      <c r="AH334" s="122"/>
      <c r="AI334" s="122"/>
      <c r="AJ334" s="122"/>
      <c r="AK334" s="122"/>
      <c r="AL334" s="122"/>
      <c r="AM334" s="122"/>
      <c r="AN334" s="122"/>
      <c r="AO334" s="117"/>
      <c r="AZ334" s="122"/>
      <c r="BA334" s="122"/>
      <c r="BB334" s="122"/>
      <c r="BC334" s="122"/>
      <c r="BD334" s="122"/>
      <c r="BE334" s="122"/>
      <c r="BF334" s="122"/>
      <c r="BG334" s="122"/>
      <c r="BH334" s="122"/>
      <c r="BI334" s="122"/>
      <c r="BJ334" s="122"/>
      <c r="BK334" s="122"/>
      <c r="BL334" s="122"/>
      <c r="BM334" s="122"/>
      <c r="BT334" s="122"/>
      <c r="BU334" s="122"/>
      <c r="BV334" s="122"/>
      <c r="BW334" s="122"/>
      <c r="BX334" s="122"/>
      <c r="BY334" s="122"/>
      <c r="BZ334" s="122"/>
      <c r="CA334" s="122"/>
      <c r="CB334" s="122"/>
      <c r="CC334" s="122"/>
      <c r="CD334" s="122"/>
      <c r="CE334" s="122"/>
      <c r="CF334" s="122"/>
      <c r="CG334" s="122"/>
      <c r="CH334" s="122"/>
    </row>
    <row r="335" spans="26:86" ht="12" customHeight="1" thickBot="1" x14ac:dyDescent="0.25">
      <c r="AZ335" s="122"/>
      <c r="BA335" s="122"/>
      <c r="BB335" s="122"/>
      <c r="BC335" s="122"/>
      <c r="BD335" s="122"/>
      <c r="BE335" s="122"/>
      <c r="BF335" s="122"/>
      <c r="BG335" s="122"/>
      <c r="BH335" s="122"/>
      <c r="BI335" s="122"/>
      <c r="BJ335" s="122"/>
      <c r="BK335" s="122"/>
      <c r="BL335" s="122"/>
      <c r="BM335" s="122"/>
      <c r="BT335" s="122"/>
      <c r="BU335" s="122"/>
      <c r="BV335" s="122"/>
      <c r="BW335" s="122"/>
      <c r="BX335" s="122"/>
      <c r="BY335" s="122"/>
      <c r="BZ335" s="122"/>
      <c r="CA335" s="122"/>
      <c r="CB335" s="122"/>
      <c r="CC335" s="122"/>
      <c r="CD335" s="122"/>
      <c r="CE335" s="122"/>
      <c r="CF335" s="122"/>
      <c r="CG335" s="122"/>
      <c r="CH335" s="122"/>
    </row>
    <row r="336" spans="26:86" ht="12" customHeight="1" x14ac:dyDescent="0.2">
      <c r="AD336" s="1000" t="s">
        <v>861</v>
      </c>
      <c r="AE336" s="1001"/>
      <c r="AF336" s="1001"/>
      <c r="AG336" s="1001"/>
      <c r="AH336" s="1002"/>
      <c r="AZ336" s="122"/>
      <c r="BA336" s="122"/>
      <c r="BB336" s="122"/>
      <c r="BC336" s="122"/>
      <c r="BD336" s="122"/>
      <c r="BE336" s="122"/>
      <c r="BF336" s="122"/>
      <c r="BG336" s="122"/>
      <c r="BH336" s="122"/>
      <c r="BI336" s="122"/>
      <c r="BJ336" s="122"/>
      <c r="BK336" s="122"/>
      <c r="BL336" s="122"/>
      <c r="BM336" s="122"/>
      <c r="BT336" s="122"/>
      <c r="BU336" s="122"/>
      <c r="BV336" s="122"/>
      <c r="BW336" s="122"/>
      <c r="BX336" s="122"/>
      <c r="BY336" s="122"/>
      <c r="BZ336" s="122"/>
      <c r="CA336" s="122"/>
      <c r="CB336" s="122"/>
      <c r="CC336" s="122"/>
      <c r="CD336" s="122"/>
      <c r="CE336" s="122"/>
      <c r="CF336" s="122"/>
      <c r="CG336" s="122"/>
      <c r="CH336" s="122"/>
    </row>
    <row r="337" spans="26:86" ht="12" customHeight="1" thickBot="1" x14ac:dyDescent="0.25">
      <c r="AD337" s="1003"/>
      <c r="AE337" s="1004"/>
      <c r="AF337" s="1004"/>
      <c r="AG337" s="1004"/>
      <c r="AH337" s="1005"/>
      <c r="AI337" s="18"/>
      <c r="AO337" s="18"/>
      <c r="AZ337" s="122"/>
      <c r="BA337" s="122"/>
      <c r="BB337" s="122"/>
      <c r="BC337" s="122"/>
      <c r="BD337" s="122"/>
      <c r="BE337" s="122"/>
      <c r="BF337" s="122"/>
      <c r="BG337" s="122"/>
      <c r="BH337" s="122"/>
      <c r="BI337" s="122"/>
      <c r="BJ337" s="122"/>
      <c r="BK337" s="122"/>
      <c r="BL337" s="122"/>
      <c r="BM337" s="122"/>
      <c r="BT337" s="122"/>
      <c r="BU337" s="122"/>
      <c r="BV337" s="122"/>
      <c r="BW337" s="122"/>
      <c r="BX337" s="122"/>
      <c r="BY337" s="122"/>
      <c r="BZ337" s="122"/>
      <c r="CA337" s="122"/>
      <c r="CB337" s="122"/>
      <c r="CC337" s="122"/>
      <c r="CD337" s="122"/>
      <c r="CE337" s="122"/>
      <c r="CF337" s="122"/>
      <c r="CG337" s="122"/>
      <c r="CH337" s="122"/>
    </row>
    <row r="338" spans="26:86" ht="12" customHeight="1" x14ac:dyDescent="0.2">
      <c r="AD338" s="310"/>
      <c r="AE338" s="96"/>
      <c r="AF338" s="473" t="s">
        <v>33</v>
      </c>
      <c r="AG338" s="474"/>
      <c r="AH338" s="311"/>
      <c r="AI338" s="18"/>
      <c r="AO338" s="18"/>
      <c r="AZ338" s="122"/>
      <c r="BA338" s="122"/>
      <c r="BB338" s="122"/>
      <c r="BC338" s="122"/>
      <c r="BD338" s="122"/>
      <c r="BE338" s="122"/>
      <c r="BF338" s="122"/>
      <c r="BG338" s="122"/>
      <c r="BH338" s="122"/>
      <c r="BI338" s="122"/>
      <c r="BJ338" s="122"/>
      <c r="BK338" s="122"/>
      <c r="BL338" s="122"/>
      <c r="BM338" s="122"/>
      <c r="BT338" s="122"/>
      <c r="BU338" s="122"/>
      <c r="BV338" s="122"/>
      <c r="BW338" s="122"/>
      <c r="BX338" s="122"/>
      <c r="BY338" s="122"/>
      <c r="BZ338" s="122"/>
      <c r="CA338" s="122"/>
      <c r="CB338" s="122"/>
      <c r="CC338" s="122"/>
      <c r="CD338" s="122"/>
      <c r="CE338" s="122"/>
      <c r="CF338" s="122"/>
      <c r="CG338" s="122"/>
      <c r="CH338" s="122"/>
    </row>
    <row r="339" spans="26:86" ht="12" customHeight="1" thickBot="1" x14ac:dyDescent="0.25">
      <c r="AD339" s="312" t="s">
        <v>121</v>
      </c>
      <c r="AE339" s="99"/>
      <c r="AF339" s="100" t="s">
        <v>122</v>
      </c>
      <c r="AG339" s="100" t="s">
        <v>38</v>
      </c>
      <c r="AH339" s="313" t="s">
        <v>123</v>
      </c>
      <c r="AI339" s="500"/>
      <c r="AO339" s="18"/>
      <c r="AZ339" s="122"/>
      <c r="BA339" s="122"/>
      <c r="BB339" s="122"/>
      <c r="BC339" s="122"/>
      <c r="BD339" s="122"/>
      <c r="BE339" s="122"/>
      <c r="BF339" s="122"/>
      <c r="BG339" s="122"/>
      <c r="BH339" s="122"/>
      <c r="BI339" s="122"/>
      <c r="BJ339" s="122"/>
      <c r="BK339" s="122"/>
      <c r="BL339" s="122"/>
      <c r="BM339" s="122"/>
      <c r="BT339" s="122"/>
      <c r="BU339" s="122"/>
      <c r="BV339" s="122"/>
      <c r="BW339" s="122"/>
      <c r="BX339" s="122"/>
      <c r="BY339" s="122"/>
      <c r="BZ339" s="122"/>
      <c r="CA339" s="122"/>
      <c r="CB339" s="122"/>
      <c r="CC339" s="122"/>
      <c r="CD339" s="122"/>
      <c r="CE339" s="122"/>
      <c r="CF339" s="122"/>
      <c r="CG339" s="122"/>
      <c r="CH339" s="122"/>
    </row>
    <row r="340" spans="26:86" ht="12" customHeight="1" x14ac:dyDescent="0.2">
      <c r="AD340" s="404" t="s">
        <v>725</v>
      </c>
      <c r="AE340" s="22" t="s">
        <v>116</v>
      </c>
      <c r="AF340" s="229" t="s">
        <v>40</v>
      </c>
      <c r="AG340" s="230">
        <f>IF($G$19=0,0,SUM($AH$24+$AH$55+$AH$93+$AH$129+$AH$166+$AH$200+$AH$228+$AH$254+$AH$293+$AH$323+$AH$410+$AH$390+$AH$430)*0.035)</f>
        <v>1968.6333333333334</v>
      </c>
      <c r="AH340" s="372">
        <f>1*AG340</f>
        <v>1968.6333333333334</v>
      </c>
      <c r="AI340" s="512" t="s">
        <v>209</v>
      </c>
      <c r="AO340" s="218"/>
      <c r="AZ340" s="122"/>
      <c r="BA340" s="122"/>
      <c r="BB340" s="122"/>
      <c r="BC340" s="122"/>
      <c r="BD340" s="122"/>
      <c r="BE340" s="122"/>
      <c r="BF340" s="122"/>
      <c r="BG340" s="122"/>
      <c r="BH340" s="122"/>
      <c r="BI340" s="122"/>
      <c r="BJ340" s="122"/>
      <c r="BK340" s="122"/>
      <c r="BL340" s="122"/>
      <c r="BM340" s="122"/>
      <c r="BT340" s="122"/>
      <c r="BU340" s="122"/>
      <c r="BV340" s="122"/>
      <c r="BW340" s="122"/>
      <c r="BX340" s="122"/>
      <c r="BY340" s="122"/>
      <c r="BZ340" s="122"/>
      <c r="CA340" s="122"/>
      <c r="CB340" s="122"/>
      <c r="CC340" s="122"/>
      <c r="CD340" s="122"/>
      <c r="CE340" s="122"/>
      <c r="CF340" s="122"/>
      <c r="CG340" s="122"/>
      <c r="CH340" s="122"/>
    </row>
    <row r="341" spans="26:86" ht="12" customHeight="1" x14ac:dyDescent="0.2">
      <c r="AD341" s="404" t="s">
        <v>726</v>
      </c>
      <c r="AE341" s="22" t="s">
        <v>211</v>
      </c>
      <c r="AF341" s="106">
        <v>1</v>
      </c>
      <c r="AG341" s="479">
        <f>IF($G$19=0,0,IF($G$19&lt;=450,AF370,(IF($G$19&lt;=800,AF371,(IF($G$19&lt;=1200,AF372,(IF($G$19&lt;=1600,AF373,(IF($G$19&gt;1600,AF374))))))))))</f>
        <v>150</v>
      </c>
      <c r="AH341" s="315">
        <f>AF341*AG341</f>
        <v>150</v>
      </c>
      <c r="AI341" s="512"/>
      <c r="AO341" s="218"/>
      <c r="AZ341" s="122"/>
      <c r="BA341" s="122"/>
      <c r="BB341" s="122"/>
      <c r="BC341" s="122"/>
      <c r="BD341" s="122"/>
      <c r="BE341" s="122"/>
      <c r="BF341" s="122"/>
      <c r="BG341" s="122"/>
      <c r="BH341" s="122"/>
      <c r="BI341" s="122"/>
      <c r="BJ341" s="122"/>
      <c r="BK341" s="122"/>
      <c r="BL341" s="122"/>
      <c r="BM341" s="122"/>
      <c r="BT341" s="122"/>
      <c r="BU341" s="122"/>
      <c r="BV341" s="122"/>
      <c r="BW341" s="122"/>
      <c r="BX341" s="122"/>
      <c r="BY341" s="122"/>
      <c r="BZ341" s="122"/>
      <c r="CA341" s="122"/>
      <c r="CB341" s="122"/>
      <c r="CC341" s="122"/>
      <c r="CD341" s="122"/>
      <c r="CE341" s="122"/>
      <c r="CF341" s="122"/>
      <c r="CG341" s="122"/>
      <c r="CH341" s="122"/>
    </row>
    <row r="342" spans="26:86" ht="12" customHeight="1" x14ac:dyDescent="0.2">
      <c r="AD342" s="404" t="s">
        <v>727</v>
      </c>
      <c r="AE342" s="22" t="s">
        <v>213</v>
      </c>
      <c r="AF342" s="106">
        <v>1</v>
      </c>
      <c r="AG342" s="479">
        <f>IF($G$19=0,0,IF($G$19&lt;=450,AG370,(IF($G$19&lt;=800,AG371,(IF($G$19&lt;=1200,AG372,(IF($G$19&lt;=1600,AG373,(IF($G$19&gt;1600,AG374))))))))))</f>
        <v>150</v>
      </c>
      <c r="AH342" s="315">
        <f>AF342*AG342</f>
        <v>150</v>
      </c>
      <c r="AI342" s="512"/>
      <c r="AO342" s="218"/>
      <c r="AZ342" s="122"/>
      <c r="BA342" s="122"/>
      <c r="BB342" s="122"/>
      <c r="BC342" s="122"/>
      <c r="BD342" s="122"/>
      <c r="BE342" s="122"/>
      <c r="BF342" s="122"/>
      <c r="BG342" s="122"/>
      <c r="BH342" s="122"/>
      <c r="BI342" s="122"/>
      <c r="BJ342" s="122"/>
      <c r="BK342" s="122"/>
      <c r="BL342" s="122"/>
      <c r="BM342" s="122"/>
      <c r="BT342" s="122"/>
      <c r="BU342" s="122"/>
      <c r="BV342" s="122"/>
      <c r="BW342" s="122"/>
      <c r="BX342" s="122"/>
      <c r="BY342" s="122"/>
      <c r="BZ342" s="122"/>
      <c r="CA342" s="122"/>
      <c r="CB342" s="122"/>
      <c r="CC342" s="122"/>
      <c r="CD342" s="122"/>
      <c r="CE342" s="122"/>
      <c r="CF342" s="122"/>
      <c r="CG342" s="122"/>
      <c r="CH342" s="122"/>
    </row>
    <row r="343" spans="26:86" ht="12" customHeight="1" x14ac:dyDescent="0.2">
      <c r="AD343" s="404" t="s">
        <v>728</v>
      </c>
      <c r="AE343" s="22" t="s">
        <v>215</v>
      </c>
      <c r="AF343" s="106">
        <v>1</v>
      </c>
      <c r="AG343" s="479">
        <f>IF($G$19=0,0,IF($G$19&lt;=450,AH370,(IF($G$19&lt;=800,AH371,(IF($G$19&lt;=1200,AH372,(IF($G$19&lt;=1600,AH373,(IF($G$19&gt;1600,AH374))))))))))</f>
        <v>192</v>
      </c>
      <c r="AH343" s="315">
        <f>AF343*AG343</f>
        <v>192</v>
      </c>
      <c r="AI343" s="512" t="s">
        <v>41</v>
      </c>
      <c r="AO343" s="218"/>
      <c r="AZ343" s="122"/>
      <c r="BA343" s="122"/>
      <c r="BB343" s="122"/>
      <c r="BC343" s="122"/>
      <c r="BD343" s="122"/>
      <c r="BE343" s="122"/>
      <c r="BF343" s="122"/>
      <c r="BG343" s="122"/>
      <c r="BH343" s="122"/>
      <c r="BI343" s="122"/>
      <c r="BJ343" s="122"/>
      <c r="BK343" s="122"/>
      <c r="BL343" s="122"/>
      <c r="BM343" s="122"/>
      <c r="BT343" s="122"/>
      <c r="BU343" s="122"/>
      <c r="BV343" s="122"/>
      <c r="BW343" s="122"/>
      <c r="BX343" s="122"/>
      <c r="BY343" s="122"/>
      <c r="BZ343" s="122"/>
      <c r="CA343" s="122"/>
      <c r="CB343" s="122"/>
      <c r="CC343" s="122"/>
      <c r="CD343" s="122"/>
      <c r="CE343" s="122"/>
      <c r="CF343" s="122"/>
      <c r="CG343" s="122"/>
      <c r="CH343" s="122"/>
    </row>
    <row r="344" spans="26:86" ht="12" customHeight="1" x14ac:dyDescent="0.2">
      <c r="AD344" s="404" t="s">
        <v>729</v>
      </c>
      <c r="AE344" s="22" t="s">
        <v>117</v>
      </c>
      <c r="AF344" s="229" t="s">
        <v>40</v>
      </c>
      <c r="AG344" s="230">
        <f>IF($G$19=0,0,SUM($AH$24+$AH$55+$AH$93+$AH$129+$AH$166+$AH$200+$AH$228+$AH$254+$AH$293+$AH$323+$AH$410+$AH$390+$AH$430)*0.2)</f>
        <v>11249.333333333334</v>
      </c>
      <c r="AH344" s="372">
        <f>1*AG344</f>
        <v>11249.333333333334</v>
      </c>
      <c r="AI344" s="512" t="s">
        <v>209</v>
      </c>
      <c r="AO344" s="218"/>
      <c r="AZ344" s="122"/>
      <c r="BA344" s="122"/>
      <c r="BB344" s="122"/>
      <c r="BC344" s="122"/>
      <c r="BD344" s="122"/>
      <c r="BE344" s="122"/>
      <c r="BF344" s="122"/>
      <c r="BG344" s="122"/>
      <c r="BH344" s="122"/>
      <c r="BI344" s="122"/>
      <c r="BJ344" s="122"/>
      <c r="BK344" s="122"/>
      <c r="BL344" s="122"/>
      <c r="BM344" s="122"/>
      <c r="BT344" s="122"/>
      <c r="BU344" s="122"/>
      <c r="BV344" s="122"/>
      <c r="BW344" s="122"/>
      <c r="BX344" s="122"/>
      <c r="BY344" s="122"/>
      <c r="BZ344" s="122"/>
      <c r="CA344" s="122"/>
      <c r="CB344" s="122"/>
      <c r="CC344" s="122"/>
      <c r="CD344" s="122"/>
      <c r="CE344" s="122"/>
      <c r="CF344" s="122"/>
      <c r="CG344" s="122"/>
      <c r="CH344" s="122"/>
    </row>
    <row r="345" spans="26:86" ht="12" customHeight="1" x14ac:dyDescent="0.2">
      <c r="AD345" s="404"/>
      <c r="AE345" s="22" t="s">
        <v>217</v>
      </c>
      <c r="AF345" s="233" t="s">
        <v>40</v>
      </c>
      <c r="AG345" s="234"/>
      <c r="AH345" s="315">
        <f>AG345</f>
        <v>0</v>
      </c>
      <c r="AI345" s="444" t="s">
        <v>36</v>
      </c>
      <c r="AO345" s="218"/>
      <c r="AZ345" s="122"/>
      <c r="BA345" s="122"/>
      <c r="BB345" s="122"/>
      <c r="BC345" s="122"/>
      <c r="BD345" s="122"/>
      <c r="BE345" s="122"/>
      <c r="BF345" s="122"/>
      <c r="BG345" s="122"/>
      <c r="BH345" s="122"/>
      <c r="BI345" s="122"/>
      <c r="BJ345" s="122"/>
      <c r="BK345" s="122"/>
      <c r="BL345" s="122"/>
      <c r="BM345" s="122"/>
      <c r="BT345" s="122"/>
      <c r="BU345" s="122"/>
      <c r="BV345" s="122"/>
      <c r="BW345" s="122"/>
      <c r="BX345" s="122"/>
      <c r="BY345" s="122"/>
      <c r="BZ345" s="122"/>
      <c r="CA345" s="122"/>
      <c r="CB345" s="122"/>
      <c r="CC345" s="122"/>
      <c r="CD345" s="122"/>
      <c r="CE345" s="122"/>
      <c r="CF345" s="122"/>
      <c r="CG345" s="122"/>
      <c r="CH345" s="122"/>
    </row>
    <row r="346" spans="26:86" ht="12" customHeight="1" x14ac:dyDescent="0.2">
      <c r="AD346" s="404" t="s">
        <v>730</v>
      </c>
      <c r="AE346" s="22" t="s">
        <v>118</v>
      </c>
      <c r="AF346" s="229" t="s">
        <v>40</v>
      </c>
      <c r="AG346" s="230">
        <f>IF($G$19=0,0,SUM($AH$24+$AH$55+$AH$93+$AH$129+$AH$166+$AH$200+$AH$228+$AH$254+$AH$293+$AH$323+$AH$410+$AH$390+$AH$430)*0.069)</f>
        <v>3881.02</v>
      </c>
      <c r="AH346" s="372">
        <f>AG346</f>
        <v>3881.02</v>
      </c>
      <c r="AI346" s="512" t="s">
        <v>209</v>
      </c>
      <c r="AO346" s="218"/>
      <c r="AZ346" s="122"/>
      <c r="BA346" s="122"/>
      <c r="BB346" s="122"/>
      <c r="BC346" s="122"/>
      <c r="BD346" s="122"/>
      <c r="BE346" s="122"/>
      <c r="BF346" s="122"/>
      <c r="BG346" s="122"/>
      <c r="BH346" s="122"/>
      <c r="BI346" s="122"/>
      <c r="BJ346" s="122"/>
      <c r="BK346" s="122"/>
      <c r="BL346" s="122"/>
      <c r="BM346" s="122"/>
      <c r="BT346" s="122"/>
      <c r="BU346" s="122"/>
      <c r="BV346" s="122"/>
      <c r="BW346" s="122"/>
      <c r="BX346" s="122"/>
      <c r="BY346" s="122"/>
      <c r="BZ346" s="122"/>
      <c r="CA346" s="122"/>
      <c r="CB346" s="122"/>
      <c r="CC346" s="122"/>
      <c r="CD346" s="122"/>
      <c r="CE346" s="122"/>
      <c r="CF346" s="122"/>
      <c r="CG346" s="122"/>
      <c r="CH346" s="122"/>
    </row>
    <row r="347" spans="26:86" ht="12" customHeight="1" x14ac:dyDescent="0.2">
      <c r="AD347" s="404" t="s">
        <v>731</v>
      </c>
      <c r="AE347" s="22" t="s">
        <v>732</v>
      </c>
      <c r="AF347" s="106">
        <v>1</v>
      </c>
      <c r="AG347" s="80">
        <f>IF($G$19=0,0,IF($G$19&lt;=450,AJ370,(IF($G$19&lt;=800,AJ371,(IF($G$19&lt;=1200,AJ372,(IF($G$19&lt;=1600,AJ373,(IF($G$19&gt;1600,AJ374))))))))))</f>
        <v>200</v>
      </c>
      <c r="AH347" s="315">
        <f>AF347*AG347</f>
        <v>200</v>
      </c>
      <c r="AI347" s="512" t="s">
        <v>221</v>
      </c>
      <c r="AO347" s="218"/>
      <c r="AZ347" s="122"/>
      <c r="BA347" s="122"/>
      <c r="BB347" s="122"/>
      <c r="BC347" s="122"/>
      <c r="BD347" s="122"/>
      <c r="BE347" s="122"/>
      <c r="BF347" s="122"/>
      <c r="BG347" s="122"/>
      <c r="BH347" s="122"/>
      <c r="BI347" s="122"/>
      <c r="BJ347" s="122"/>
      <c r="BK347" s="122"/>
      <c r="BL347" s="122"/>
      <c r="BM347" s="122"/>
      <c r="BT347" s="122"/>
      <c r="BU347" s="122"/>
      <c r="BV347" s="122"/>
      <c r="BW347" s="122"/>
      <c r="BX347" s="122"/>
      <c r="BY347" s="122"/>
      <c r="BZ347" s="122"/>
      <c r="CA347" s="122"/>
      <c r="CB347" s="122"/>
      <c r="CC347" s="122"/>
      <c r="CD347" s="122"/>
      <c r="CE347" s="122"/>
      <c r="CF347" s="122"/>
      <c r="CG347" s="122"/>
      <c r="CH347" s="122"/>
    </row>
    <row r="348" spans="26:86" ht="12" customHeight="1" x14ac:dyDescent="0.2">
      <c r="AD348" s="404" t="s">
        <v>733</v>
      </c>
      <c r="AE348" s="22" t="s">
        <v>223</v>
      </c>
      <c r="AF348" s="106">
        <v>1</v>
      </c>
      <c r="AG348" s="80">
        <f>IF($G$19=0,0,IF($G$19&lt;=450,AK370,(IF($G$19&lt;=800,AK371,(IF($G$19&lt;=1200,AK372,(IF($G$19&lt;=1600,AK373,(IF($G$19&gt;1600,AK374))))))))))</f>
        <v>200</v>
      </c>
      <c r="AH348" s="315">
        <f>AF348*AG348</f>
        <v>200</v>
      </c>
      <c r="AI348" s="512" t="s">
        <v>221</v>
      </c>
      <c r="AO348" s="218"/>
      <c r="AZ348" s="122"/>
      <c r="BA348" s="122"/>
      <c r="BB348" s="122"/>
      <c r="BC348" s="122"/>
      <c r="BD348" s="122"/>
      <c r="BE348" s="122"/>
      <c r="BF348" s="122"/>
      <c r="BG348" s="122"/>
      <c r="BH348" s="122"/>
      <c r="BI348" s="122"/>
      <c r="BJ348" s="122"/>
      <c r="BK348" s="122"/>
      <c r="BL348" s="122"/>
      <c r="BM348" s="122"/>
      <c r="BT348" s="122"/>
      <c r="BU348" s="122"/>
      <c r="BV348" s="122"/>
      <c r="BW348" s="122"/>
      <c r="BX348" s="122"/>
      <c r="BY348" s="122"/>
      <c r="BZ348" s="122"/>
      <c r="CA348" s="122"/>
      <c r="CB348" s="122"/>
      <c r="CC348" s="122"/>
      <c r="CD348" s="122"/>
      <c r="CE348" s="122"/>
      <c r="CF348" s="122"/>
      <c r="CG348" s="122"/>
      <c r="CH348" s="122"/>
    </row>
    <row r="349" spans="26:86" ht="12" customHeight="1" x14ac:dyDescent="0.2">
      <c r="AD349" s="404" t="s">
        <v>734</v>
      </c>
      <c r="AE349" s="22" t="s">
        <v>225</v>
      </c>
      <c r="AF349" s="106">
        <v>1</v>
      </c>
      <c r="AG349" s="479">
        <f>IF($G$19=0,0,IF($G$19&lt;=450,AL370,(IF($G$19&lt;=800,AL371,(IF($G$19&lt;=1200,AL372,(IF($G$19&lt;=1600,AL373,(IF($G$19&gt;1600,AL374))))))))))</f>
        <v>120</v>
      </c>
      <c r="AH349" s="315">
        <f>AF349*AG349</f>
        <v>120</v>
      </c>
      <c r="AI349" s="512"/>
      <c r="AO349" s="218"/>
      <c r="AZ349" s="122"/>
      <c r="BA349" s="122"/>
      <c r="BB349" s="122"/>
      <c r="BC349" s="122"/>
      <c r="BD349" s="122"/>
      <c r="BE349" s="122"/>
      <c r="BF349" s="122"/>
      <c r="BG349" s="122"/>
      <c r="BH349" s="122"/>
      <c r="BI349" s="122"/>
      <c r="BJ349" s="122"/>
      <c r="BK349" s="122"/>
      <c r="BL349" s="122"/>
      <c r="BM349" s="122"/>
      <c r="BT349" s="122"/>
      <c r="BU349" s="122"/>
      <c r="BV349" s="122"/>
      <c r="BW349" s="122"/>
      <c r="BX349" s="122"/>
      <c r="BY349" s="122"/>
      <c r="BZ349" s="122"/>
      <c r="CA349" s="122"/>
      <c r="CB349" s="122"/>
      <c r="CC349" s="122"/>
      <c r="CD349" s="122"/>
      <c r="CE349" s="122"/>
      <c r="CF349" s="122"/>
      <c r="CG349" s="122"/>
      <c r="CH349" s="122"/>
    </row>
    <row r="350" spans="26:86" ht="12" customHeight="1" x14ac:dyDescent="0.2">
      <c r="Z350" s="483"/>
      <c r="AA350" s="439" t="s">
        <v>777</v>
      </c>
      <c r="AB350" s="449"/>
      <c r="AD350" s="404" t="s">
        <v>735</v>
      </c>
      <c r="AE350" s="22" t="s">
        <v>143</v>
      </c>
      <c r="AF350" s="106">
        <v>1</v>
      </c>
      <c r="AG350" s="80">
        <f>IF($G$19=0,0,IF($G$19&lt;=450,AM370,(IF($G$19&lt;=800,AM371,(IF($G$19&lt;=1200,AM372,(IF($G$19&lt;=1600,AM373,(IF($G$19&gt;1600,AM374))))))))))</f>
        <v>0</v>
      </c>
      <c r="AH350" s="315">
        <f>AF350*AG350</f>
        <v>0</v>
      </c>
      <c r="AI350" s="500"/>
      <c r="AO350" s="18"/>
      <c r="AZ350" s="122"/>
      <c r="BA350" s="122"/>
      <c r="BB350" s="122"/>
      <c r="BC350" s="122"/>
      <c r="BD350" s="122"/>
      <c r="BE350" s="122"/>
      <c r="BF350" s="122"/>
      <c r="BG350" s="122"/>
      <c r="BH350" s="122"/>
      <c r="BI350" s="122"/>
      <c r="BJ350" s="122"/>
      <c r="BK350" s="122"/>
      <c r="BL350" s="122"/>
      <c r="BM350" s="122"/>
      <c r="BT350" s="122"/>
      <c r="BU350" s="122"/>
      <c r="BV350" s="122"/>
      <c r="BW350" s="122"/>
      <c r="BX350" s="122"/>
      <c r="BY350" s="122"/>
      <c r="BZ350" s="122"/>
      <c r="CA350" s="122"/>
      <c r="CB350" s="122"/>
      <c r="CC350" s="122"/>
      <c r="CD350" s="122"/>
      <c r="CE350" s="122"/>
      <c r="CF350" s="122"/>
      <c r="CG350" s="122"/>
      <c r="CH350" s="122"/>
    </row>
    <row r="351" spans="26:86" ht="12" customHeight="1" x14ac:dyDescent="0.2">
      <c r="Z351" s="484"/>
      <c r="AA351" s="485"/>
      <c r="AB351" s="486"/>
      <c r="AD351" s="437" t="s">
        <v>736</v>
      </c>
      <c r="AE351" s="109" t="s">
        <v>737</v>
      </c>
      <c r="AF351" s="106">
        <v>1</v>
      </c>
      <c r="AG351" s="147">
        <f>IF($G$19=0,0,IF($G$19&lt;=450,AN370,(IF($G$19&lt;=800,AN371,(IF($G$19&lt;=1200,AN372,(IF($G$19&lt;=1600,AN373,(IF($G$19&gt;1600,AN374))))))))))</f>
        <v>100</v>
      </c>
      <c r="AH351" s="316">
        <f>AF351*AG351</f>
        <v>100</v>
      </c>
      <c r="AI351" s="514" t="s">
        <v>221</v>
      </c>
      <c r="AO351" s="237"/>
      <c r="AZ351" s="122"/>
      <c r="BA351" s="122"/>
      <c r="BB351" s="122"/>
      <c r="BC351" s="122"/>
      <c r="BD351" s="122"/>
      <c r="BE351" s="122"/>
      <c r="BF351" s="122"/>
      <c r="BG351" s="122"/>
      <c r="BH351" s="122"/>
      <c r="BI351" s="122"/>
      <c r="BJ351" s="122"/>
      <c r="BK351" s="122"/>
      <c r="BL351" s="122"/>
      <c r="BM351" s="122"/>
      <c r="BT351" s="122"/>
      <c r="BU351" s="122"/>
      <c r="BV351" s="122"/>
      <c r="BW351" s="122"/>
      <c r="BX351" s="122"/>
      <c r="BY351" s="122"/>
      <c r="BZ351" s="122"/>
      <c r="CA351" s="122"/>
      <c r="CB351" s="122"/>
      <c r="CC351" s="122"/>
      <c r="CD351" s="122"/>
      <c r="CE351" s="122"/>
      <c r="CF351" s="122"/>
      <c r="CG351" s="122"/>
      <c r="CH351" s="122"/>
    </row>
    <row r="352" spans="26:86" ht="12" customHeight="1" x14ac:dyDescent="0.2">
      <c r="Z352" s="487"/>
      <c r="AA352" s="488"/>
      <c r="AB352" s="489"/>
      <c r="AD352" s="376"/>
      <c r="AE352" s="22"/>
      <c r="AF352" s="80"/>
      <c r="AG352" s="80"/>
      <c r="AH352" s="318"/>
      <c r="AO352" s="18"/>
      <c r="AZ352" s="122"/>
      <c r="BA352" s="122"/>
      <c r="BB352" s="122"/>
      <c r="BC352" s="122"/>
      <c r="BD352" s="122"/>
      <c r="BE352" s="122"/>
      <c r="BF352" s="122"/>
      <c r="BG352" s="122"/>
      <c r="BH352" s="122"/>
      <c r="BI352" s="122"/>
      <c r="BJ352" s="122"/>
      <c r="BK352" s="122"/>
      <c r="BL352" s="122"/>
      <c r="BM352" s="122"/>
      <c r="BT352" s="122"/>
      <c r="BU352" s="122"/>
      <c r="BV352" s="122"/>
      <c r="BW352" s="122"/>
      <c r="BX352" s="122"/>
      <c r="BY352" s="122"/>
      <c r="BZ352" s="122"/>
      <c r="CA352" s="122"/>
      <c r="CB352" s="122"/>
      <c r="CC352" s="122"/>
      <c r="CD352" s="122"/>
      <c r="CE352" s="122"/>
      <c r="CF352" s="122"/>
      <c r="CG352" s="122"/>
      <c r="CH352" s="122"/>
    </row>
    <row r="353" spans="26:86" ht="12" customHeight="1" thickBot="1" x14ac:dyDescent="0.25">
      <c r="Z353" s="490"/>
      <c r="AA353" s="448">
        <f>AH353</f>
        <v>18210.986666666668</v>
      </c>
      <c r="AB353" s="449"/>
      <c r="AD353" s="319" t="s">
        <v>229</v>
      </c>
      <c r="AE353" s="438"/>
      <c r="AF353" s="321"/>
      <c r="AG353" s="321"/>
      <c r="AH353" s="322">
        <f>SUM(AH340:AH351)</f>
        <v>18210.986666666668</v>
      </c>
      <c r="AO353" s="18"/>
      <c r="AZ353" s="122"/>
      <c r="BA353" s="122"/>
      <c r="BB353" s="122"/>
      <c r="BC353" s="122"/>
      <c r="BD353" s="122"/>
      <c r="BE353" s="122"/>
      <c r="BF353" s="122"/>
      <c r="BG353" s="122"/>
      <c r="BH353" s="122"/>
      <c r="BI353" s="122"/>
      <c r="BJ353" s="122"/>
      <c r="BK353" s="122"/>
      <c r="BL353" s="122"/>
      <c r="BM353" s="122"/>
      <c r="BT353" s="122"/>
      <c r="BU353" s="122"/>
      <c r="BV353" s="122"/>
      <c r="BW353" s="122"/>
      <c r="BX353" s="122"/>
      <c r="BY353" s="122"/>
      <c r="BZ353" s="122"/>
      <c r="CA353" s="122"/>
      <c r="CB353" s="122"/>
      <c r="CC353" s="122"/>
      <c r="CD353" s="122"/>
      <c r="CE353" s="122"/>
      <c r="CF353" s="122"/>
      <c r="CG353" s="122"/>
      <c r="CH353" s="122"/>
    </row>
    <row r="354" spans="26:86" ht="12" customHeight="1" thickBot="1" x14ac:dyDescent="0.25">
      <c r="AZ354" s="122"/>
      <c r="BA354" s="122"/>
      <c r="BB354" s="122"/>
      <c r="BC354" s="122"/>
      <c r="BD354" s="122"/>
      <c r="BE354" s="122"/>
      <c r="BF354" s="122"/>
      <c r="BG354" s="122"/>
      <c r="BH354" s="122"/>
      <c r="BI354" s="122"/>
      <c r="BJ354" s="122"/>
      <c r="BK354" s="122"/>
      <c r="BL354" s="122"/>
      <c r="BM354" s="122"/>
      <c r="BT354" s="122"/>
      <c r="BU354" s="122"/>
      <c r="BV354" s="122"/>
      <c r="BW354" s="122"/>
      <c r="BX354" s="122"/>
      <c r="BY354" s="122"/>
      <c r="BZ354" s="122"/>
      <c r="CA354" s="122"/>
      <c r="CB354" s="122"/>
      <c r="CC354" s="122"/>
      <c r="CD354" s="122"/>
      <c r="CE354" s="122"/>
      <c r="CF354" s="122"/>
      <c r="CG354" s="122"/>
      <c r="CH354" s="122"/>
    </row>
    <row r="355" spans="26:86" ht="12" customHeight="1" thickBot="1" x14ac:dyDescent="0.25">
      <c r="AD355" s="945" t="s">
        <v>230</v>
      </c>
      <c r="AE355" s="946"/>
      <c r="AF355" s="946"/>
      <c r="AG355" s="946"/>
      <c r="AH355" s="946"/>
      <c r="AI355" s="946"/>
      <c r="AJ355" s="946"/>
      <c r="AK355" s="946"/>
      <c r="AL355" s="947"/>
      <c r="AZ355" s="122"/>
      <c r="BA355" s="122"/>
      <c r="BB355" s="122"/>
      <c r="BC355" s="122"/>
      <c r="BD355" s="122"/>
      <c r="BE355" s="122"/>
      <c r="BF355" s="122"/>
      <c r="BG355" s="122"/>
      <c r="BH355" s="122"/>
      <c r="BI355" s="122"/>
      <c r="BJ355" s="122"/>
      <c r="BK355" s="122"/>
      <c r="BL355" s="122"/>
      <c r="BM355" s="122"/>
      <c r="BT355" s="122"/>
      <c r="BU355" s="122"/>
      <c r="BV355" s="122"/>
      <c r="BW355" s="122"/>
      <c r="BX355" s="122"/>
      <c r="BY355" s="122"/>
      <c r="BZ355" s="122"/>
      <c r="CA355" s="122"/>
      <c r="CB355" s="122"/>
      <c r="CC355" s="122"/>
      <c r="CD355" s="122"/>
      <c r="CE355" s="122"/>
      <c r="CF355" s="122"/>
      <c r="CG355" s="122"/>
      <c r="CH355" s="122"/>
    </row>
    <row r="356" spans="26:86" ht="12" customHeight="1" thickBot="1" x14ac:dyDescent="0.25">
      <c r="AD356" s="149" t="s">
        <v>23</v>
      </c>
      <c r="AE356" s="150" t="s">
        <v>24</v>
      </c>
      <c r="AF356" s="151"/>
      <c r="AG356" s="151"/>
      <c r="AH356" s="151"/>
      <c r="AI356" s="151"/>
      <c r="AJ356" s="151"/>
      <c r="AK356" s="238"/>
      <c r="AL356" s="239"/>
      <c r="AZ356" s="122"/>
      <c r="BA356" s="122"/>
      <c r="BB356" s="122"/>
      <c r="BC356" s="122"/>
      <c r="BD356" s="122"/>
      <c r="BE356" s="122"/>
      <c r="BF356" s="122"/>
      <c r="BG356" s="122"/>
      <c r="BH356" s="122"/>
      <c r="BI356" s="122"/>
      <c r="BJ356" s="122"/>
      <c r="BK356" s="122"/>
      <c r="BL356" s="122"/>
      <c r="BM356" s="122"/>
      <c r="BT356" s="122"/>
      <c r="BU356" s="122"/>
      <c r="BV356" s="122"/>
      <c r="BW356" s="122"/>
      <c r="BX356" s="122"/>
      <c r="BY356" s="122"/>
      <c r="BZ356" s="122"/>
      <c r="CA356" s="122"/>
      <c r="CB356" s="122"/>
      <c r="CC356" s="122"/>
      <c r="CD356" s="122"/>
      <c r="CE356" s="122"/>
      <c r="CF356" s="122"/>
      <c r="CG356" s="122"/>
      <c r="CH356" s="122"/>
    </row>
    <row r="357" spans="26:86" ht="12" customHeight="1" x14ac:dyDescent="0.2">
      <c r="AD357" s="68">
        <v>1</v>
      </c>
      <c r="AE357" s="153" t="s">
        <v>231</v>
      </c>
      <c r="AF357" s="154"/>
      <c r="AG357" s="154"/>
      <c r="AH357" s="154"/>
      <c r="AI357" s="154"/>
      <c r="AJ357" s="154"/>
      <c r="AK357" s="161"/>
      <c r="AL357" s="162"/>
      <c r="AZ357" s="122"/>
      <c r="BA357" s="122"/>
      <c r="BB357" s="122"/>
      <c r="BC357" s="122"/>
      <c r="BD357" s="122"/>
      <c r="BE357" s="122"/>
      <c r="BF357" s="122"/>
      <c r="BG357" s="122"/>
      <c r="BH357" s="122"/>
      <c r="BI357" s="122"/>
      <c r="BJ357" s="122"/>
      <c r="BK357" s="122"/>
      <c r="BL357" s="122"/>
      <c r="BM357" s="122"/>
      <c r="BT357" s="122"/>
      <c r="BU357" s="122"/>
      <c r="BV357" s="122"/>
      <c r="BW357" s="122"/>
      <c r="BX357" s="122"/>
      <c r="BY357" s="122"/>
      <c r="BZ357" s="122"/>
      <c r="CA357" s="122"/>
      <c r="CB357" s="122"/>
      <c r="CC357" s="122"/>
      <c r="CD357" s="122"/>
      <c r="CE357" s="122"/>
      <c r="CF357" s="122"/>
      <c r="CG357" s="122"/>
      <c r="CH357" s="122"/>
    </row>
    <row r="358" spans="26:86" ht="12" customHeight="1" x14ac:dyDescent="0.2">
      <c r="AD358" s="68">
        <v>2</v>
      </c>
      <c r="AE358" s="214" t="s">
        <v>232</v>
      </c>
      <c r="AF358" s="157"/>
      <c r="AG358" s="157"/>
      <c r="AH358" s="157"/>
      <c r="AI358" s="157"/>
      <c r="AJ358" s="157"/>
      <c r="AK358" s="161"/>
      <c r="AL358" s="162"/>
      <c r="AZ358" s="122"/>
      <c r="BA358" s="122"/>
      <c r="BB358" s="122"/>
      <c r="BC358" s="122"/>
      <c r="BD358" s="122"/>
      <c r="BE358" s="122"/>
      <c r="BF358" s="122"/>
      <c r="BG358" s="122"/>
      <c r="BH358" s="122"/>
      <c r="BI358" s="122"/>
      <c r="BJ358" s="122"/>
      <c r="BK358" s="122"/>
      <c r="BL358" s="122"/>
      <c r="BM358" s="122"/>
      <c r="BT358" s="122"/>
      <c r="BU358" s="122"/>
      <c r="BV358" s="122"/>
      <c r="BW358" s="122"/>
      <c r="BX358" s="122"/>
      <c r="BY358" s="122"/>
      <c r="BZ358" s="122"/>
      <c r="CA358" s="122"/>
      <c r="CB358" s="122"/>
      <c r="CC358" s="122"/>
      <c r="CD358" s="122"/>
      <c r="CE358" s="122"/>
      <c r="CF358" s="122"/>
      <c r="CG358" s="122"/>
      <c r="CH358" s="122"/>
    </row>
    <row r="359" spans="26:86" ht="12" customHeight="1" thickBot="1" x14ac:dyDescent="0.25">
      <c r="AD359" s="71"/>
      <c r="AE359" s="164" t="s">
        <v>233</v>
      </c>
      <c r="AF359" s="170"/>
      <c r="AG359" s="170"/>
      <c r="AH359" s="170"/>
      <c r="AI359" s="170"/>
      <c r="AJ359" s="170"/>
      <c r="AK359" s="165"/>
      <c r="AL359" s="166"/>
      <c r="AZ359" s="122"/>
      <c r="BA359" s="122"/>
      <c r="BB359" s="122"/>
      <c r="BC359" s="122"/>
      <c r="BD359" s="122"/>
      <c r="BE359" s="122"/>
      <c r="BF359" s="122"/>
      <c r="BG359" s="122"/>
      <c r="BH359" s="122"/>
      <c r="BI359" s="122"/>
      <c r="BJ359" s="122"/>
      <c r="BK359" s="122"/>
      <c r="BL359" s="122"/>
      <c r="BM359" s="122"/>
      <c r="BT359" s="122"/>
      <c r="BU359" s="122"/>
      <c r="BV359" s="122"/>
      <c r="BW359" s="122"/>
      <c r="BX359" s="122"/>
      <c r="BY359" s="122"/>
      <c r="BZ359" s="122"/>
      <c r="CA359" s="122"/>
      <c r="CB359" s="122"/>
      <c r="CC359" s="122"/>
      <c r="CD359" s="122"/>
      <c r="CE359" s="122"/>
      <c r="CF359" s="122"/>
      <c r="CG359" s="122"/>
      <c r="CH359" s="122"/>
    </row>
    <row r="360" spans="26:86" ht="12" customHeight="1" thickBot="1" x14ac:dyDescent="0.25">
      <c r="AZ360" s="122"/>
      <c r="BA360" s="122"/>
      <c r="BB360" s="122"/>
      <c r="BC360" s="122"/>
      <c r="BD360" s="122"/>
      <c r="BE360" s="122"/>
      <c r="BF360" s="122"/>
      <c r="BG360" s="122"/>
      <c r="BH360" s="122"/>
      <c r="BI360" s="122"/>
      <c r="BJ360" s="122"/>
      <c r="BK360" s="122"/>
      <c r="BL360" s="122"/>
      <c r="BM360" s="122"/>
      <c r="BT360" s="122"/>
      <c r="BU360" s="122"/>
      <c r="BV360" s="122"/>
      <c r="BW360" s="122"/>
      <c r="BX360" s="122"/>
      <c r="BY360" s="122"/>
      <c r="BZ360" s="122"/>
      <c r="CA360" s="122"/>
      <c r="CB360" s="122"/>
      <c r="CC360" s="122"/>
      <c r="CD360" s="122"/>
      <c r="CE360" s="122"/>
      <c r="CF360" s="122"/>
      <c r="CG360" s="122"/>
      <c r="CH360" s="122"/>
    </row>
    <row r="361" spans="26:86" ht="12" customHeight="1" thickBot="1" x14ac:dyDescent="0.25">
      <c r="AE361" s="945" t="s">
        <v>113</v>
      </c>
      <c r="AF361" s="946"/>
      <c r="AG361" s="946"/>
      <c r="AH361" s="947"/>
      <c r="AZ361" s="122"/>
      <c r="BA361" s="122"/>
      <c r="BB361" s="122"/>
      <c r="BC361" s="122"/>
      <c r="BD361" s="122"/>
      <c r="BE361" s="122"/>
      <c r="BF361" s="122"/>
      <c r="BG361" s="122"/>
      <c r="BH361" s="122"/>
      <c r="BI361" s="122"/>
      <c r="BJ361" s="122"/>
      <c r="BK361" s="122"/>
      <c r="BL361" s="122"/>
      <c r="BM361" s="122"/>
      <c r="BT361" s="122"/>
      <c r="BU361" s="122"/>
      <c r="BV361" s="122"/>
      <c r="BW361" s="122"/>
      <c r="BX361" s="122"/>
      <c r="BY361" s="122"/>
      <c r="BZ361" s="122"/>
      <c r="CA361" s="122"/>
      <c r="CB361" s="122"/>
      <c r="CC361" s="122"/>
      <c r="CD361" s="122"/>
      <c r="CE361" s="122"/>
      <c r="CF361" s="122"/>
      <c r="CG361" s="122"/>
      <c r="CH361" s="122"/>
    </row>
    <row r="362" spans="26:86" ht="12" customHeight="1" thickBot="1" x14ac:dyDescent="0.25">
      <c r="AE362" s="173" t="s">
        <v>114</v>
      </c>
      <c r="AF362" s="194" t="s">
        <v>115</v>
      </c>
      <c r="AG362" s="194" t="s">
        <v>90</v>
      </c>
      <c r="AH362" s="174" t="s">
        <v>93</v>
      </c>
      <c r="AZ362" s="122"/>
      <c r="BA362" s="122"/>
      <c r="BB362" s="122"/>
      <c r="BC362" s="122"/>
      <c r="BD362" s="122"/>
      <c r="BE362" s="122"/>
      <c r="BF362" s="122"/>
      <c r="BG362" s="122"/>
      <c r="BH362" s="122"/>
      <c r="BI362" s="122"/>
      <c r="BJ362" s="122"/>
      <c r="BK362" s="122"/>
      <c r="BL362" s="122"/>
      <c r="BM362" s="122"/>
    </row>
    <row r="363" spans="26:86" ht="12" customHeight="1" x14ac:dyDescent="0.2">
      <c r="AE363" s="176" t="s">
        <v>116</v>
      </c>
      <c r="AF363" s="240" t="s">
        <v>115</v>
      </c>
      <c r="AG363" s="221" t="s">
        <v>92</v>
      </c>
      <c r="AH363" s="241">
        <v>3.5</v>
      </c>
      <c r="AZ363" s="122"/>
      <c r="BA363" s="122"/>
      <c r="BB363" s="122"/>
      <c r="BC363" s="122"/>
      <c r="BD363" s="122"/>
      <c r="BE363" s="122"/>
      <c r="BF363" s="122"/>
      <c r="BG363" s="122"/>
      <c r="BH363" s="122"/>
      <c r="BI363" s="122"/>
      <c r="BJ363" s="122"/>
      <c r="BK363" s="122"/>
      <c r="BL363" s="122"/>
      <c r="BM363" s="122"/>
    </row>
    <row r="364" spans="26:86" ht="12" customHeight="1" x14ac:dyDescent="0.2">
      <c r="AE364" s="179" t="s">
        <v>117</v>
      </c>
      <c r="AF364" s="242" t="s">
        <v>115</v>
      </c>
      <c r="AG364" s="221" t="s">
        <v>92</v>
      </c>
      <c r="AH364" s="241">
        <v>20</v>
      </c>
      <c r="AZ364" s="122"/>
      <c r="BA364" s="122"/>
      <c r="BB364" s="122"/>
      <c r="BC364" s="122"/>
      <c r="BD364" s="122"/>
      <c r="BE364" s="122"/>
      <c r="BF364" s="122"/>
      <c r="BG364" s="122"/>
      <c r="BH364" s="122"/>
      <c r="BI364" s="122"/>
      <c r="BJ364" s="122"/>
      <c r="BK364" s="122"/>
      <c r="BL364" s="122"/>
      <c r="BM364" s="122"/>
      <c r="BT364" s="92"/>
      <c r="BX364" s="90"/>
    </row>
    <row r="365" spans="26:86" ht="12" customHeight="1" thickBot="1" x14ac:dyDescent="0.25">
      <c r="AE365" s="179" t="s">
        <v>118</v>
      </c>
      <c r="AF365" s="206" t="s">
        <v>115</v>
      </c>
      <c r="AG365" s="221" t="s">
        <v>92</v>
      </c>
      <c r="AH365" s="241">
        <v>6.9</v>
      </c>
      <c r="AZ365" s="122"/>
      <c r="BA365" s="122"/>
      <c r="BB365" s="122"/>
      <c r="BC365" s="122"/>
      <c r="BD365" s="122"/>
      <c r="BE365" s="122"/>
      <c r="BF365" s="122"/>
      <c r="BG365" s="122"/>
      <c r="BH365" s="122"/>
      <c r="BI365" s="122"/>
      <c r="BJ365" s="122"/>
      <c r="BK365" s="122"/>
      <c r="BL365" s="122"/>
      <c r="BM365" s="122"/>
    </row>
    <row r="366" spans="26:86" ht="12" customHeight="1" thickBot="1" x14ac:dyDescent="0.25">
      <c r="AE366" s="948" t="s">
        <v>119</v>
      </c>
      <c r="AF366" s="949"/>
      <c r="AG366" s="949"/>
      <c r="AH366" s="950"/>
      <c r="AZ366" s="122"/>
      <c r="BA366" s="122"/>
      <c r="BB366" s="122"/>
      <c r="BC366" s="122"/>
      <c r="BD366" s="122"/>
      <c r="BE366" s="122"/>
      <c r="BF366" s="122"/>
      <c r="BG366" s="122"/>
      <c r="BH366" s="122"/>
      <c r="BI366" s="122"/>
      <c r="BJ366" s="122"/>
      <c r="BK366" s="122"/>
      <c r="BL366" s="122"/>
      <c r="BM366" s="122"/>
    </row>
    <row r="367" spans="26:86" ht="12" customHeight="1" thickBot="1" x14ac:dyDescent="0.25"/>
    <row r="368" spans="26:86" ht="12" customHeight="1" thickBot="1" x14ac:dyDescent="0.25">
      <c r="AE368" s="945" t="s">
        <v>102</v>
      </c>
      <c r="AF368" s="946"/>
      <c r="AG368" s="946"/>
      <c r="AH368" s="946"/>
      <c r="AI368" s="946"/>
      <c r="AJ368" s="946"/>
      <c r="AK368" s="946"/>
      <c r="AL368" s="946"/>
      <c r="AM368" s="946"/>
      <c r="AN368" s="946"/>
      <c r="AO368" s="947"/>
      <c r="AZ368" s="977" t="s">
        <v>499</v>
      </c>
      <c r="BA368" s="978"/>
      <c r="BB368" s="978"/>
      <c r="BC368" s="978"/>
      <c r="BD368" s="979"/>
    </row>
    <row r="369" spans="30:57" ht="12" customHeight="1" thickBot="1" x14ac:dyDescent="0.25">
      <c r="AE369" s="173" t="s">
        <v>103</v>
      </c>
      <c r="AF369" s="205" t="s">
        <v>235</v>
      </c>
      <c r="AG369" s="205" t="s">
        <v>236</v>
      </c>
      <c r="AH369" s="174" t="s">
        <v>237</v>
      </c>
      <c r="AI369" s="174" t="s">
        <v>238</v>
      </c>
      <c r="AJ369" s="174" t="s">
        <v>239</v>
      </c>
      <c r="AK369" s="174" t="s">
        <v>240</v>
      </c>
      <c r="AL369" s="174" t="s">
        <v>241</v>
      </c>
      <c r="AM369" s="174" t="s">
        <v>242</v>
      </c>
      <c r="AN369" s="174" t="s">
        <v>234</v>
      </c>
      <c r="AO369" s="174"/>
      <c r="AZ369" s="980"/>
      <c r="BA369" s="981"/>
      <c r="BB369" s="981"/>
      <c r="BC369" s="981"/>
      <c r="BD369" s="982"/>
    </row>
    <row r="370" spans="30:57" ht="12" customHeight="1" thickBot="1" x14ac:dyDescent="0.25">
      <c r="AE370" s="137" t="s">
        <v>458</v>
      </c>
      <c r="AF370" s="138">
        <v>100</v>
      </c>
      <c r="AG370" s="138">
        <v>100</v>
      </c>
      <c r="AH370" s="138">
        <v>128</v>
      </c>
      <c r="AI370" s="244">
        <v>0</v>
      </c>
      <c r="AJ370" s="138">
        <v>150</v>
      </c>
      <c r="AK370" s="138">
        <v>170</v>
      </c>
      <c r="AL370" s="138">
        <v>120</v>
      </c>
      <c r="AM370" s="138">
        <v>0</v>
      </c>
      <c r="AN370" s="138">
        <v>80</v>
      </c>
      <c r="AO370" s="226"/>
      <c r="AZ370" s="310"/>
      <c r="BA370" s="96"/>
      <c r="BB370" s="473" t="s">
        <v>33</v>
      </c>
      <c r="BC370" s="474"/>
      <c r="BD370" s="311"/>
    </row>
    <row r="371" spans="30:57" ht="12" customHeight="1" thickBot="1" x14ac:dyDescent="0.25">
      <c r="AE371" s="140" t="s">
        <v>569</v>
      </c>
      <c r="AF371" s="141">
        <v>150</v>
      </c>
      <c r="AG371" s="141">
        <v>150</v>
      </c>
      <c r="AH371" s="141">
        <v>192</v>
      </c>
      <c r="AI371" s="246">
        <v>0</v>
      </c>
      <c r="AJ371" s="141">
        <v>200</v>
      </c>
      <c r="AK371" s="141">
        <v>200</v>
      </c>
      <c r="AL371" s="141">
        <v>120</v>
      </c>
      <c r="AM371" s="141">
        <v>0</v>
      </c>
      <c r="AN371" s="141">
        <v>100</v>
      </c>
      <c r="AO371" s="226"/>
      <c r="AZ371" s="312" t="s">
        <v>121</v>
      </c>
      <c r="BA371" s="99"/>
      <c r="BB371" s="100" t="s">
        <v>122</v>
      </c>
      <c r="BC371" s="100" t="s">
        <v>38</v>
      </c>
      <c r="BD371" s="313" t="s">
        <v>123</v>
      </c>
    </row>
    <row r="372" spans="30:57" ht="12" customHeight="1" thickBot="1" x14ac:dyDescent="0.25">
      <c r="AE372" s="140" t="s">
        <v>570</v>
      </c>
      <c r="AF372" s="141">
        <v>200</v>
      </c>
      <c r="AG372" s="141">
        <v>200</v>
      </c>
      <c r="AH372" s="141">
        <v>256</v>
      </c>
      <c r="AI372" s="246">
        <v>0</v>
      </c>
      <c r="AJ372" s="141">
        <v>250</v>
      </c>
      <c r="AK372" s="141">
        <v>220</v>
      </c>
      <c r="AL372" s="141">
        <v>120</v>
      </c>
      <c r="AM372" s="141">
        <v>0</v>
      </c>
      <c r="AN372" s="141">
        <v>130</v>
      </c>
      <c r="AO372" s="226"/>
      <c r="AZ372" s="435" t="s">
        <v>500</v>
      </c>
      <c r="BA372" s="416" t="s">
        <v>650</v>
      </c>
      <c r="BB372" s="284">
        <v>1</v>
      </c>
      <c r="BC372" s="230">
        <f>IF($G$17=0,0,IF($G$17&lt;=450,BB380,(IF($G$17&lt;=600,BB381,(IF($G$17&lt;=750,BB382,(IF($G$17&lt;=1000,BB383,(IF($G$17&lt;=1500,BB384,(IF($G$17&gt;1500,BB385))))))))))))</f>
        <v>1300</v>
      </c>
      <c r="BD372" s="315">
        <f>BB372*BC372</f>
        <v>1300</v>
      </c>
      <c r="BE372" s="4"/>
    </row>
    <row r="373" spans="30:57" ht="12" customHeight="1" thickBot="1" x14ac:dyDescent="0.25">
      <c r="AE373" s="140" t="s">
        <v>571</v>
      </c>
      <c r="AF373" s="141">
        <v>250</v>
      </c>
      <c r="AG373" s="141">
        <v>250</v>
      </c>
      <c r="AH373" s="141">
        <v>320</v>
      </c>
      <c r="AI373" s="246">
        <v>0</v>
      </c>
      <c r="AJ373" s="141">
        <v>250</v>
      </c>
      <c r="AK373" s="141">
        <v>240</v>
      </c>
      <c r="AL373" s="141">
        <v>120</v>
      </c>
      <c r="AM373" s="141">
        <v>0</v>
      </c>
      <c r="AN373" s="141">
        <v>160</v>
      </c>
      <c r="AO373" s="226"/>
      <c r="AZ373" s="435" t="s">
        <v>501</v>
      </c>
      <c r="BA373" s="416" t="s">
        <v>659</v>
      </c>
      <c r="BB373" s="146">
        <v>1</v>
      </c>
      <c r="BC373" s="230">
        <f>IF($G$17=0,0,IF($G$17&lt;=450,BC380,(IF($G$17&lt;=600,BC381,(IF($G$17&lt;=750,BC382,(IF($G$17&lt;=1000,BC383,(IF($G$17&lt;=1500,BC384,(IF($G$17&gt;1500,BC385))))))))))))</f>
        <v>0</v>
      </c>
      <c r="BD373" s="315">
        <f>BB373*BC373</f>
        <v>0</v>
      </c>
      <c r="BE373" s="4"/>
    </row>
    <row r="374" spans="30:57" ht="12" customHeight="1" thickBot="1" x14ac:dyDescent="0.25">
      <c r="AE374" s="494" t="s">
        <v>575</v>
      </c>
      <c r="AF374" s="511">
        <v>300</v>
      </c>
      <c r="AG374" s="511">
        <v>300</v>
      </c>
      <c r="AH374" s="511">
        <v>320</v>
      </c>
      <c r="AI374" s="511">
        <v>0</v>
      </c>
      <c r="AJ374" s="511">
        <v>500</v>
      </c>
      <c r="AK374" s="511">
        <v>590</v>
      </c>
      <c r="AL374" s="511">
        <v>400</v>
      </c>
      <c r="AM374" s="511">
        <v>0</v>
      </c>
      <c r="AN374" s="511">
        <v>210</v>
      </c>
      <c r="AO374" s="513"/>
      <c r="AZ374" s="435" t="s">
        <v>502</v>
      </c>
      <c r="BA374" s="49" t="s">
        <v>655</v>
      </c>
      <c r="BB374" s="187">
        <v>1</v>
      </c>
      <c r="BC374" s="392">
        <f>IF($G$17=0,0,IF($G$17&lt;=450,BD380,(IF($G$17&lt;=600,BD381,(IF($G$17&lt;=750,BD382,(IF($G$17&lt;=1000,BD383,(IF($G$17&lt;=1500,BD384,(IF($G$17&gt;1500,BD385))))))))))))</f>
        <v>150</v>
      </c>
      <c r="BD374" s="316">
        <f>BB374*BC374</f>
        <v>150</v>
      </c>
      <c r="BE374" s="4"/>
    </row>
    <row r="375" spans="30:57" ht="12" customHeight="1" thickBot="1" x14ac:dyDescent="0.25">
      <c r="AE375" s="948" t="s">
        <v>110</v>
      </c>
      <c r="AF375" s="949"/>
      <c r="AG375" s="949"/>
      <c r="AH375" s="949"/>
      <c r="AI375" s="949"/>
      <c r="AJ375" s="949"/>
      <c r="AK375" s="949"/>
      <c r="AL375" s="949"/>
      <c r="AM375" s="949"/>
      <c r="AN375" s="949"/>
      <c r="AO375" s="950"/>
      <c r="AZ375" s="317"/>
      <c r="BA375" s="22"/>
      <c r="BB375" s="80"/>
      <c r="BC375" s="80"/>
      <c r="BD375" s="318"/>
    </row>
    <row r="376" spans="30:57" ht="12" customHeight="1" thickBot="1" x14ac:dyDescent="0.25">
      <c r="AZ376" s="379" t="s">
        <v>660</v>
      </c>
      <c r="BA376" s="320"/>
      <c r="BB376" s="321"/>
      <c r="BC376" s="321"/>
      <c r="BD376" s="322">
        <f>SUM(BD372:BD374)</f>
        <v>1450</v>
      </c>
    </row>
    <row r="377" spans="30:57" ht="12" customHeight="1" thickBot="1" x14ac:dyDescent="0.25"/>
    <row r="378" spans="30:57" ht="12" customHeight="1" thickBot="1" x14ac:dyDescent="0.25">
      <c r="BA378" s="945" t="s">
        <v>102</v>
      </c>
      <c r="BB378" s="946"/>
      <c r="BC378" s="946"/>
      <c r="BD378" s="946"/>
      <c r="BE378" s="947"/>
    </row>
    <row r="379" spans="30:57" ht="12" customHeight="1" thickBot="1" x14ac:dyDescent="0.25">
      <c r="AD379" s="977" t="s">
        <v>499</v>
      </c>
      <c r="AE379" s="978"/>
      <c r="AF379" s="978"/>
      <c r="AG379" s="978"/>
      <c r="AH379" s="979"/>
      <c r="BA379" s="134" t="s">
        <v>103</v>
      </c>
      <c r="BB379" s="135" t="s">
        <v>500</v>
      </c>
      <c r="BC379" s="135" t="s">
        <v>501</v>
      </c>
      <c r="BD379" s="135" t="s">
        <v>502</v>
      </c>
      <c r="BE379" s="136" t="s">
        <v>179</v>
      </c>
    </row>
    <row r="380" spans="30:57" ht="12" customHeight="1" thickBot="1" x14ac:dyDescent="0.25">
      <c r="AD380" s="980"/>
      <c r="AE380" s="981"/>
      <c r="AF380" s="981"/>
      <c r="AG380" s="981"/>
      <c r="AH380" s="982"/>
      <c r="BA380" s="137" t="s">
        <v>458</v>
      </c>
      <c r="BB380" s="138">
        <v>1300</v>
      </c>
      <c r="BC380" s="138">
        <v>0</v>
      </c>
      <c r="BD380" s="138">
        <v>150</v>
      </c>
      <c r="BE380" s="139">
        <f>SUM(BB380:BD380)</f>
        <v>1450</v>
      </c>
    </row>
    <row r="381" spans="30:57" ht="12" customHeight="1" x14ac:dyDescent="0.2">
      <c r="AD381" s="310"/>
      <c r="AE381" s="96"/>
      <c r="AF381" s="473" t="s">
        <v>33</v>
      </c>
      <c r="AG381" s="474"/>
      <c r="AH381" s="311"/>
      <c r="BA381" s="140" t="s">
        <v>459</v>
      </c>
      <c r="BB381" s="141">
        <v>1300</v>
      </c>
      <c r="BC381" s="141">
        <v>0</v>
      </c>
      <c r="BD381" s="141">
        <v>150</v>
      </c>
      <c r="BE381" s="139">
        <f t="shared" ref="BE381:BE385" si="45">SUM(BB381:BD381)</f>
        <v>1450</v>
      </c>
    </row>
    <row r="382" spans="30:57" ht="12" customHeight="1" thickBot="1" x14ac:dyDescent="0.25">
      <c r="AD382" s="312" t="s">
        <v>121</v>
      </c>
      <c r="AE382" s="99"/>
      <c r="AF382" s="357" t="s">
        <v>122</v>
      </c>
      <c r="AG382" s="358" t="s">
        <v>38</v>
      </c>
      <c r="AH382" s="359" t="s">
        <v>123</v>
      </c>
      <c r="BA382" s="140" t="s">
        <v>456</v>
      </c>
      <c r="BB382" s="141">
        <v>1300</v>
      </c>
      <c r="BC382" s="141">
        <v>1300</v>
      </c>
      <c r="BD382" s="141">
        <v>150</v>
      </c>
      <c r="BE382" s="139">
        <f t="shared" si="45"/>
        <v>2750</v>
      </c>
    </row>
    <row r="383" spans="30:57" ht="12" customHeight="1" x14ac:dyDescent="0.2">
      <c r="AD383" s="404" t="s">
        <v>649</v>
      </c>
      <c r="AE383" s="416" t="s">
        <v>650</v>
      </c>
      <c r="AF383" s="354">
        <v>1</v>
      </c>
      <c r="AG383" s="230">
        <f>IF($G$18=0,0,IF($G$18&lt;=450,AF394,(IF($G$18&lt;=800,AF395,(IF($G$18&lt;=1200,AF396,(IF($G$18&lt;=1600,AF397,(IF($G$18&gt;1600,AF398))))))))))</f>
        <v>1800</v>
      </c>
      <c r="AH383" s="315">
        <f>AF383*AG383</f>
        <v>1800</v>
      </c>
      <c r="AI383" s="4"/>
      <c r="BA383" s="140" t="s">
        <v>457</v>
      </c>
      <c r="BB383" s="141">
        <v>2600</v>
      </c>
      <c r="BC383" s="141">
        <v>1300</v>
      </c>
      <c r="BD383" s="141">
        <v>150</v>
      </c>
      <c r="BE383" s="139">
        <f t="shared" si="45"/>
        <v>4050</v>
      </c>
    </row>
    <row r="384" spans="30:57" ht="12" customHeight="1" x14ac:dyDescent="0.2">
      <c r="AD384" s="404"/>
      <c r="AE384" s="416" t="s">
        <v>651</v>
      </c>
      <c r="AF384" s="353"/>
      <c r="AG384" s="230"/>
      <c r="AH384" s="315"/>
      <c r="AI384" s="4"/>
      <c r="BA384" s="140" t="s">
        <v>108</v>
      </c>
      <c r="BB384" s="141">
        <v>2600</v>
      </c>
      <c r="BC384" s="141">
        <v>1300</v>
      </c>
      <c r="BD384" s="141">
        <v>300</v>
      </c>
      <c r="BE384" s="139">
        <f t="shared" si="45"/>
        <v>4200</v>
      </c>
    </row>
    <row r="385" spans="26:57" ht="12" customHeight="1" thickBot="1" x14ac:dyDescent="0.25">
      <c r="AD385" s="404" t="s">
        <v>652</v>
      </c>
      <c r="AE385" s="416" t="s">
        <v>653</v>
      </c>
      <c r="AF385" s="354">
        <v>1</v>
      </c>
      <c r="AG385" s="230">
        <f>IF($G$18=0,0,IF($G$18&lt;=450,AG394,(IF($G$18&lt;=800,AG395,(IF($G$18&lt;=1200,AG396,(IF($G$18&lt;=1600,AG397,(IF($G$18&gt;1600,AG398))))))))))</f>
        <v>0</v>
      </c>
      <c r="AH385" s="315">
        <f t="shared" ref="AH385:AH388" si="46">AF385*AG385</f>
        <v>0</v>
      </c>
      <c r="AI385" s="4"/>
      <c r="BA385" s="142" t="s">
        <v>109</v>
      </c>
      <c r="BB385" s="143">
        <v>2600</v>
      </c>
      <c r="BC385" s="143">
        <v>2600</v>
      </c>
      <c r="BD385" s="143">
        <v>400</v>
      </c>
      <c r="BE385" s="139">
        <f t="shared" si="45"/>
        <v>5600</v>
      </c>
    </row>
    <row r="386" spans="26:57" ht="12" customHeight="1" thickBot="1" x14ac:dyDescent="0.25">
      <c r="AD386" s="404" t="s">
        <v>654</v>
      </c>
      <c r="AE386" s="416" t="s">
        <v>655</v>
      </c>
      <c r="AF386" s="354">
        <v>1</v>
      </c>
      <c r="AG386" s="230">
        <f>IF($G$18=0,0,IF($G$18&lt;350,100,IF($G$18&lt;=450,AH394,(IF($G$18&lt;=800,AH395,(IF($G$18&lt;=1200,AH396,(IF($G$18&lt;=1600,AH397,(IF($G$18&gt;1600,AH398)))))))))))</f>
        <v>100</v>
      </c>
      <c r="AH386" s="315">
        <f t="shared" si="46"/>
        <v>100</v>
      </c>
      <c r="AI386" s="4"/>
      <c r="BA386" s="948" t="s">
        <v>110</v>
      </c>
      <c r="BB386" s="949"/>
      <c r="BC386" s="949"/>
      <c r="BD386" s="949"/>
      <c r="BE386" s="950"/>
    </row>
    <row r="387" spans="26:57" ht="12" customHeight="1" x14ac:dyDescent="0.2">
      <c r="Z387" s="483"/>
      <c r="AA387" s="439" t="s">
        <v>778</v>
      </c>
      <c r="AB387" s="449"/>
      <c r="AD387" s="404" t="s">
        <v>656</v>
      </c>
      <c r="AE387" s="49" t="s">
        <v>657</v>
      </c>
      <c r="AF387" s="354">
        <v>1</v>
      </c>
      <c r="AG387" s="230">
        <f>IF($G$18=0,0,IF($G$18&lt;=450,AI394,(IF($G$18&lt;=800,AI395,(IF($G$18&lt;=1200,AI396,(IF($G$18&lt;=1600,AI397,(IF($G$18&gt;1600,AI398))))))))))</f>
        <v>0</v>
      </c>
      <c r="AH387" s="315">
        <f t="shared" si="46"/>
        <v>0</v>
      </c>
      <c r="AI387" s="4"/>
    </row>
    <row r="388" spans="26:57" ht="12" customHeight="1" thickBot="1" x14ac:dyDescent="0.25">
      <c r="Z388" s="484" t="s">
        <v>763</v>
      </c>
      <c r="AA388" s="485" t="s">
        <v>764</v>
      </c>
      <c r="AB388" s="486" t="s">
        <v>765</v>
      </c>
      <c r="AD388" s="404" t="s">
        <v>658</v>
      </c>
      <c r="AE388" s="49" t="s">
        <v>659</v>
      </c>
      <c r="AF388" s="354">
        <v>1</v>
      </c>
      <c r="AG388" s="300">
        <f>IF($G$18=0,0,IF($G$18&lt;=450,AJ394,(IF($G$18&lt;=800,AJ395,(IF($G$18&lt;=1200,AJ396,(IF($G$18&lt;=1600,AJ397,(IF($G$18&gt;1600,AJ398))))))))))</f>
        <v>0</v>
      </c>
      <c r="AH388" s="349">
        <f t="shared" si="46"/>
        <v>0</v>
      </c>
      <c r="AI388" s="4"/>
    </row>
    <row r="389" spans="26:57" ht="12" customHeight="1" x14ac:dyDescent="0.2">
      <c r="Z389" s="487" t="s">
        <v>779</v>
      </c>
      <c r="AA389" s="488">
        <f>BD376</f>
        <v>1450</v>
      </c>
      <c r="AB389" s="489">
        <f>AH390</f>
        <v>1900</v>
      </c>
      <c r="AD389" s="342"/>
      <c r="AE389" s="12"/>
      <c r="AF389" s="355"/>
      <c r="AG389" s="12"/>
      <c r="AH389" s="343"/>
      <c r="AZ389" s="1021" t="s">
        <v>503</v>
      </c>
      <c r="BA389" s="1022"/>
      <c r="BB389" s="1022"/>
      <c r="BC389" s="1022"/>
      <c r="BD389" s="1023"/>
    </row>
    <row r="390" spans="26:57" ht="12" customHeight="1" thickBot="1" x14ac:dyDescent="0.25">
      <c r="Z390" s="490"/>
      <c r="AA390" s="448">
        <f>SUM(Z389:AB389)</f>
        <v>3350</v>
      </c>
      <c r="AB390" s="449"/>
      <c r="AD390" s="319" t="s">
        <v>660</v>
      </c>
      <c r="AE390" s="347"/>
      <c r="AF390" s="356"/>
      <c r="AG390" s="321"/>
      <c r="AH390" s="322">
        <f>SUM(AH383:AH388)</f>
        <v>1900</v>
      </c>
      <c r="AZ390" s="1024"/>
      <c r="BA390" s="981"/>
      <c r="BB390" s="981"/>
      <c r="BC390" s="981"/>
      <c r="BD390" s="1025"/>
    </row>
    <row r="391" spans="26:57" ht="12" customHeight="1" thickBot="1" x14ac:dyDescent="0.25">
      <c r="AZ391" s="182"/>
      <c r="BA391" s="96"/>
      <c r="BB391" s="473" t="s">
        <v>33</v>
      </c>
      <c r="BC391" s="474"/>
      <c r="BD391" s="475"/>
    </row>
    <row r="392" spans="26:57" ht="12" customHeight="1" thickBot="1" x14ac:dyDescent="0.25">
      <c r="AE392" s="987" t="s">
        <v>102</v>
      </c>
      <c r="AF392" s="988"/>
      <c r="AG392" s="988"/>
      <c r="AH392" s="988"/>
      <c r="AI392" s="988"/>
      <c r="AJ392" s="988"/>
      <c r="AK392" s="989"/>
      <c r="AZ392" s="183" t="s">
        <v>121</v>
      </c>
      <c r="BA392" s="99"/>
      <c r="BB392" s="100" t="s">
        <v>122</v>
      </c>
      <c r="BC392" s="100" t="s">
        <v>38</v>
      </c>
      <c r="BD392" s="99" t="s">
        <v>123</v>
      </c>
    </row>
    <row r="393" spans="26:57" ht="12" customHeight="1" thickBot="1" x14ac:dyDescent="0.25">
      <c r="AE393" s="134" t="s">
        <v>103</v>
      </c>
      <c r="AF393" s="135" t="s">
        <v>649</v>
      </c>
      <c r="AG393" s="135" t="s">
        <v>661</v>
      </c>
      <c r="AH393" s="135" t="s">
        <v>654</v>
      </c>
      <c r="AI393" s="135" t="s">
        <v>656</v>
      </c>
      <c r="AJ393" s="135" t="s">
        <v>658</v>
      </c>
      <c r="AK393" s="136" t="s">
        <v>179</v>
      </c>
      <c r="AZ393" s="21" t="s">
        <v>504</v>
      </c>
      <c r="BA393" s="22" t="s">
        <v>506</v>
      </c>
      <c r="BB393" s="284">
        <v>1</v>
      </c>
      <c r="BC393" s="479">
        <f>IF($G$17=0,0,IF($G$17&lt;=450,BB401,(IF($G$17&lt;=600,BB402,(IF($G$17&lt;=750,BB403,(IF($G$17&lt;=1000,BB404,(IF($G$17&lt;=1500,BB405,(IF($G$17&gt;1500,BB406))))))))))))</f>
        <v>1100</v>
      </c>
      <c r="BD393" s="104">
        <f>BB393*BC393</f>
        <v>1100</v>
      </c>
      <c r="BE393" s="4"/>
    </row>
    <row r="394" spans="26:57" ht="12" customHeight="1" x14ac:dyDescent="0.2">
      <c r="AE394" s="137" t="s">
        <v>458</v>
      </c>
      <c r="AF394" s="138">
        <v>1800</v>
      </c>
      <c r="AG394" s="138">
        <v>0</v>
      </c>
      <c r="AH394" s="138">
        <v>150</v>
      </c>
      <c r="AI394" s="138">
        <v>0</v>
      </c>
      <c r="AJ394" s="138">
        <v>0</v>
      </c>
      <c r="AK394" s="139">
        <f>SUM(AF394:AJ394)</f>
        <v>1950</v>
      </c>
      <c r="AZ394" s="21" t="s">
        <v>505</v>
      </c>
      <c r="BA394" s="22" t="s">
        <v>507</v>
      </c>
      <c r="BB394" s="146">
        <v>1</v>
      </c>
      <c r="BC394" s="493">
        <f>IF($G$17=0,0,IF($G$17&lt;=450,BC401,(IF($G$17&lt;=600,BC402,(IF($G$17&lt;=750,BC403,(IF($G$17&lt;=1000,BC404,(IF($G$17&lt;=1500,BC405,(IF($G$17&gt;1500,BC406))))))))))))</f>
        <v>0</v>
      </c>
      <c r="BD394" s="112">
        <f>BB394*BC394</f>
        <v>0</v>
      </c>
      <c r="BE394" s="4"/>
    </row>
    <row r="395" spans="26:57" ht="12" customHeight="1" x14ac:dyDescent="0.2">
      <c r="AE395" s="140" t="s">
        <v>569</v>
      </c>
      <c r="AF395" s="141">
        <v>1800</v>
      </c>
      <c r="AG395" s="141">
        <v>0</v>
      </c>
      <c r="AH395" s="141">
        <v>200</v>
      </c>
      <c r="AI395" s="141">
        <v>0</v>
      </c>
      <c r="AJ395" s="141">
        <v>1600</v>
      </c>
      <c r="AK395" s="139">
        <f t="shared" ref="AK395:AK398" si="47">SUM(AF395:AJ395)</f>
        <v>3600</v>
      </c>
      <c r="AZ395" s="48"/>
      <c r="BA395" s="22"/>
      <c r="BB395" s="80"/>
      <c r="BC395" s="80"/>
      <c r="BD395" s="73"/>
    </row>
    <row r="396" spans="26:57" ht="12" customHeight="1" thickBot="1" x14ac:dyDescent="0.25">
      <c r="AE396" s="140" t="s">
        <v>570</v>
      </c>
      <c r="AF396" s="141">
        <v>1800</v>
      </c>
      <c r="AG396" s="141">
        <v>0</v>
      </c>
      <c r="AH396" s="141">
        <v>200</v>
      </c>
      <c r="AI396" s="141">
        <v>1200</v>
      </c>
      <c r="AJ396" s="141">
        <v>1600</v>
      </c>
      <c r="AK396" s="139">
        <f t="shared" si="47"/>
        <v>4800</v>
      </c>
      <c r="AZ396" s="44" t="s">
        <v>346</v>
      </c>
      <c r="BA396" s="45"/>
      <c r="BB396" s="184"/>
      <c r="BC396" s="184"/>
      <c r="BD396" s="185">
        <f>SUM(BD393:BD394)</f>
        <v>1100</v>
      </c>
    </row>
    <row r="397" spans="26:57" ht="12" customHeight="1" x14ac:dyDescent="0.2">
      <c r="AE397" s="140" t="s">
        <v>571</v>
      </c>
      <c r="AF397" s="141">
        <v>3600</v>
      </c>
      <c r="AG397" s="141">
        <v>0</v>
      </c>
      <c r="AH397" s="141">
        <v>200</v>
      </c>
      <c r="AI397" s="141">
        <v>1200</v>
      </c>
      <c r="AJ397" s="141">
        <v>1600</v>
      </c>
      <c r="AK397" s="139">
        <f t="shared" si="47"/>
        <v>6600</v>
      </c>
    </row>
    <row r="398" spans="26:57" ht="12" customHeight="1" thickBot="1" x14ac:dyDescent="0.25">
      <c r="AE398" s="494" t="s">
        <v>575</v>
      </c>
      <c r="AF398" s="495">
        <v>5400</v>
      </c>
      <c r="AG398" s="495">
        <v>1800</v>
      </c>
      <c r="AH398" s="495">
        <v>200</v>
      </c>
      <c r="AI398" s="495">
        <v>2400</v>
      </c>
      <c r="AJ398" s="495">
        <v>3200</v>
      </c>
      <c r="AK398" s="504">
        <f t="shared" si="47"/>
        <v>13000</v>
      </c>
    </row>
    <row r="399" spans="26:57" ht="12" customHeight="1" thickBot="1" x14ac:dyDescent="0.25">
      <c r="AE399" s="990" t="s">
        <v>110</v>
      </c>
      <c r="AF399" s="991"/>
      <c r="AG399" s="991"/>
      <c r="AH399" s="991"/>
      <c r="AI399" s="991"/>
      <c r="AJ399" s="991"/>
      <c r="AK399" s="992"/>
      <c r="BA399" s="945" t="s">
        <v>102</v>
      </c>
      <c r="BB399" s="946"/>
      <c r="BC399" s="946"/>
      <c r="BD399" s="947"/>
    </row>
    <row r="400" spans="26:57" ht="12" customHeight="1" thickBot="1" x14ac:dyDescent="0.25">
      <c r="BA400" s="134" t="s">
        <v>103</v>
      </c>
      <c r="BB400" s="135" t="s">
        <v>504</v>
      </c>
      <c r="BC400" s="135" t="s">
        <v>505</v>
      </c>
      <c r="BD400" s="136" t="s">
        <v>179</v>
      </c>
    </row>
    <row r="401" spans="26:56" ht="12" customHeight="1" x14ac:dyDescent="0.2">
      <c r="AD401" s="977" t="s">
        <v>503</v>
      </c>
      <c r="AE401" s="978"/>
      <c r="AF401" s="978"/>
      <c r="AG401" s="978"/>
      <c r="AH401" s="979"/>
      <c r="BA401" s="137" t="s">
        <v>458</v>
      </c>
      <c r="BB401" s="138">
        <v>1100</v>
      </c>
      <c r="BC401" s="138">
        <v>0</v>
      </c>
      <c r="BD401" s="139">
        <f>SUM(BB401:BC401)</f>
        <v>1100</v>
      </c>
    </row>
    <row r="402" spans="26:56" ht="12" customHeight="1" thickBot="1" x14ac:dyDescent="0.25">
      <c r="AD402" s="980"/>
      <c r="AE402" s="981"/>
      <c r="AF402" s="981"/>
      <c r="AG402" s="981"/>
      <c r="AH402" s="982"/>
      <c r="BA402" s="140" t="s">
        <v>459</v>
      </c>
      <c r="BB402" s="141">
        <v>1100</v>
      </c>
      <c r="BC402" s="141">
        <v>100</v>
      </c>
      <c r="BD402" s="139">
        <f t="shared" ref="BD402:BD406" si="48">SUM(BB402:BC402)</f>
        <v>1200</v>
      </c>
    </row>
    <row r="403" spans="26:56" ht="12" customHeight="1" x14ac:dyDescent="0.2">
      <c r="AD403" s="310"/>
      <c r="AE403" s="96"/>
      <c r="AF403" s="473" t="s">
        <v>33</v>
      </c>
      <c r="AG403" s="474"/>
      <c r="AH403" s="311"/>
      <c r="BA403" s="140" t="s">
        <v>456</v>
      </c>
      <c r="BB403" s="141">
        <v>1100</v>
      </c>
      <c r="BC403" s="141">
        <v>100</v>
      </c>
      <c r="BD403" s="139">
        <f t="shared" si="48"/>
        <v>1200</v>
      </c>
    </row>
    <row r="404" spans="26:56" ht="12" customHeight="1" thickBot="1" x14ac:dyDescent="0.25">
      <c r="AD404" s="361" t="s">
        <v>121</v>
      </c>
      <c r="AE404" s="362"/>
      <c r="AF404" s="358" t="s">
        <v>122</v>
      </c>
      <c r="AG404" s="358" t="s">
        <v>38</v>
      </c>
      <c r="AH404" s="359" t="s">
        <v>123</v>
      </c>
      <c r="BA404" s="140" t="s">
        <v>457</v>
      </c>
      <c r="BB404" s="141">
        <v>1100</v>
      </c>
      <c r="BC404" s="141">
        <v>100</v>
      </c>
      <c r="BD404" s="139">
        <f t="shared" si="48"/>
        <v>1200</v>
      </c>
    </row>
    <row r="405" spans="26:56" ht="12" customHeight="1" x14ac:dyDescent="0.2">
      <c r="AD405" s="435" t="s">
        <v>670</v>
      </c>
      <c r="AE405" s="416" t="s">
        <v>506</v>
      </c>
      <c r="AF405" s="352">
        <v>1</v>
      </c>
      <c r="AG405" s="230">
        <f>IF($G$18=0,0,IF($G$18&lt;=450,AF414,(IF($G$18&lt;=800,AF415,(IF($G$18&lt;=1200,AF416,(IF($G$18&lt;=1600,AF417,(IF($G$18&gt;1600,AF418))))))))))</f>
        <v>1200</v>
      </c>
      <c r="AH405" s="315">
        <f>AF405*AG405</f>
        <v>1200</v>
      </c>
      <c r="AI405" s="4"/>
      <c r="BA405" s="140" t="s">
        <v>108</v>
      </c>
      <c r="BB405" s="141">
        <v>2200</v>
      </c>
      <c r="BC405" s="141">
        <v>200</v>
      </c>
      <c r="BD405" s="139">
        <f t="shared" si="48"/>
        <v>2400</v>
      </c>
    </row>
    <row r="406" spans="26:56" ht="12" customHeight="1" thickBot="1" x14ac:dyDescent="0.25">
      <c r="AD406" s="435" t="s">
        <v>671</v>
      </c>
      <c r="AE406" s="416" t="s">
        <v>507</v>
      </c>
      <c r="AF406" s="352">
        <v>1</v>
      </c>
      <c r="AG406" s="230">
        <f>IF($G$18=0,0,IF($G$18&lt;=450,AG414,(IF($G$18&lt;=800,AG415,(IF($G$18&lt;=1200,AG416,(IF($G$18&lt;=1600,AG417,(IF($G$18&gt;1600,AG418))))))))))</f>
        <v>200</v>
      </c>
      <c r="AH406" s="315">
        <f>AF406*AG406</f>
        <v>200</v>
      </c>
      <c r="AI406" s="4"/>
      <c r="BA406" s="142" t="s">
        <v>109</v>
      </c>
      <c r="BB406" s="143">
        <v>2200</v>
      </c>
      <c r="BC406" s="143">
        <v>200</v>
      </c>
      <c r="BD406" s="139">
        <f t="shared" si="48"/>
        <v>2400</v>
      </c>
    </row>
    <row r="407" spans="26:56" ht="12" customHeight="1" thickBot="1" x14ac:dyDescent="0.25">
      <c r="Z407" s="483"/>
      <c r="AA407" s="439" t="s">
        <v>780</v>
      </c>
      <c r="AB407" s="449"/>
      <c r="AD407" s="435" t="s">
        <v>672</v>
      </c>
      <c r="AE407" s="49" t="s">
        <v>674</v>
      </c>
      <c r="AF407" s="352">
        <v>1</v>
      </c>
      <c r="AG407" s="230">
        <f>IF($G$18=0,0,IF($G$18&lt;=450,AH414,(IF($G$18&lt;=800,AH415,(IF($G$18&lt;=1200,AH416,(IF($G$18&lt;=1600,AH417,(IF($G$18&gt;1600,AH418))))))))))</f>
        <v>150</v>
      </c>
      <c r="AH407" s="315">
        <f t="shared" ref="AH407:AH408" si="49">AF407*AG407</f>
        <v>150</v>
      </c>
      <c r="AI407" s="4"/>
      <c r="BA407" s="948" t="s">
        <v>110</v>
      </c>
      <c r="BB407" s="949"/>
      <c r="BC407" s="949"/>
      <c r="BD407" s="950"/>
    </row>
    <row r="408" spans="26:56" ht="12" customHeight="1" x14ac:dyDescent="0.2">
      <c r="Z408" s="484" t="s">
        <v>763</v>
      </c>
      <c r="AA408" s="485" t="s">
        <v>764</v>
      </c>
      <c r="AB408" s="486" t="s">
        <v>765</v>
      </c>
      <c r="AD408" s="435" t="s">
        <v>673</v>
      </c>
      <c r="AE408" s="49" t="s">
        <v>675</v>
      </c>
      <c r="AF408" s="352">
        <v>1</v>
      </c>
      <c r="AG408" s="300">
        <f>IF($G$18=0,0,IF($G$18&lt;=450,AI414,(IF($G$18&lt;=800,AI415,(IF($G$18&lt;=1200,AI416,(IF($G$18&lt;=1600,AI417,(IF($G$18&gt;1600,AI418))))))))))</f>
        <v>0</v>
      </c>
      <c r="AH408" s="349">
        <f t="shared" si="49"/>
        <v>0</v>
      </c>
      <c r="AI408" s="4"/>
    </row>
    <row r="409" spans="26:56" ht="12" customHeight="1" x14ac:dyDescent="0.2">
      <c r="Z409" s="487" t="s">
        <v>779</v>
      </c>
      <c r="AA409" s="488">
        <f>BD396</f>
        <v>1100</v>
      </c>
      <c r="AB409" s="489">
        <f>AH410</f>
        <v>1550</v>
      </c>
      <c r="AD409" s="435"/>
      <c r="AE409" s="49"/>
      <c r="AF409" s="344"/>
      <c r="AG409" s="80"/>
      <c r="AH409" s="318"/>
    </row>
    <row r="410" spans="26:56" ht="12" customHeight="1" thickBot="1" x14ac:dyDescent="0.25">
      <c r="Z410" s="490"/>
      <c r="AA410" s="448">
        <f>SUM(Z409:AB409)</f>
        <v>2650</v>
      </c>
      <c r="AB410" s="449"/>
      <c r="AD410" s="379" t="s">
        <v>676</v>
      </c>
      <c r="AE410" s="347"/>
      <c r="AF410" s="345"/>
      <c r="AG410" s="321"/>
      <c r="AH410" s="322">
        <f>SUM(AH405:AH408)</f>
        <v>1550</v>
      </c>
    </row>
    <row r="411" spans="26:56" ht="12" customHeight="1" thickBot="1" x14ac:dyDescent="0.25"/>
    <row r="412" spans="26:56" ht="12" customHeight="1" thickBot="1" x14ac:dyDescent="0.25">
      <c r="AE412" s="987" t="s">
        <v>102</v>
      </c>
      <c r="AF412" s="988"/>
      <c r="AG412" s="988"/>
      <c r="AH412" s="988"/>
      <c r="AI412" s="988"/>
      <c r="AJ412" s="989"/>
    </row>
    <row r="413" spans="26:56" ht="12" customHeight="1" thickBot="1" x14ac:dyDescent="0.25">
      <c r="AE413" s="134" t="s">
        <v>103</v>
      </c>
      <c r="AF413" s="135" t="s">
        <v>670</v>
      </c>
      <c r="AG413" s="135" t="s">
        <v>671</v>
      </c>
      <c r="AH413" s="135" t="s">
        <v>672</v>
      </c>
      <c r="AI413" s="135" t="s">
        <v>673</v>
      </c>
      <c r="AJ413" s="136" t="s">
        <v>179</v>
      </c>
    </row>
    <row r="414" spans="26:56" ht="12" customHeight="1" x14ac:dyDescent="0.2">
      <c r="AE414" s="137" t="s">
        <v>458</v>
      </c>
      <c r="AF414" s="138">
        <v>1200</v>
      </c>
      <c r="AG414" s="138">
        <v>200</v>
      </c>
      <c r="AH414" s="138">
        <v>150</v>
      </c>
      <c r="AI414" s="138">
        <v>0</v>
      </c>
      <c r="AJ414" s="139">
        <f>SUM(AF414:AI414)</f>
        <v>1550</v>
      </c>
    </row>
    <row r="415" spans="26:56" ht="12" customHeight="1" x14ac:dyDescent="0.2">
      <c r="AE415" s="140" t="s">
        <v>569</v>
      </c>
      <c r="AF415" s="141">
        <v>1200</v>
      </c>
      <c r="AG415" s="141">
        <v>250</v>
      </c>
      <c r="AH415" s="141">
        <v>150</v>
      </c>
      <c r="AI415" s="141">
        <v>1200</v>
      </c>
      <c r="AJ415" s="139">
        <f t="shared" ref="AJ415:AJ418" si="50">SUM(AF415:AI415)</f>
        <v>2800</v>
      </c>
    </row>
    <row r="416" spans="26:56" ht="12" customHeight="1" x14ac:dyDescent="0.2">
      <c r="AE416" s="140" t="s">
        <v>570</v>
      </c>
      <c r="AF416" s="141">
        <v>1200</v>
      </c>
      <c r="AG416" s="141">
        <v>300</v>
      </c>
      <c r="AH416" s="141">
        <v>150</v>
      </c>
      <c r="AI416" s="141">
        <v>1200</v>
      </c>
      <c r="AJ416" s="139">
        <f t="shared" si="50"/>
        <v>2850</v>
      </c>
    </row>
    <row r="417" spans="26:36" ht="12" customHeight="1" x14ac:dyDescent="0.2">
      <c r="AE417" s="140" t="s">
        <v>571</v>
      </c>
      <c r="AF417" s="141">
        <v>2400</v>
      </c>
      <c r="AG417" s="141">
        <v>350</v>
      </c>
      <c r="AH417" s="141">
        <v>150</v>
      </c>
      <c r="AI417" s="141">
        <v>1200</v>
      </c>
      <c r="AJ417" s="139">
        <f t="shared" si="50"/>
        <v>4100</v>
      </c>
    </row>
    <row r="418" spans="26:36" ht="12" customHeight="1" thickBot="1" x14ac:dyDescent="0.25">
      <c r="AE418" s="494" t="s">
        <v>575</v>
      </c>
      <c r="AF418" s="495">
        <v>4800</v>
      </c>
      <c r="AG418" s="495">
        <v>800</v>
      </c>
      <c r="AH418" s="495">
        <v>150</v>
      </c>
      <c r="AI418" s="495">
        <v>1200</v>
      </c>
      <c r="AJ418" s="504">
        <f t="shared" si="50"/>
        <v>6950</v>
      </c>
    </row>
    <row r="419" spans="26:36" ht="12" customHeight="1" thickBot="1" x14ac:dyDescent="0.25">
      <c r="AE419" s="990" t="s">
        <v>110</v>
      </c>
      <c r="AF419" s="991"/>
      <c r="AG419" s="991"/>
      <c r="AH419" s="991"/>
      <c r="AI419" s="991"/>
      <c r="AJ419" s="992"/>
    </row>
    <row r="420" spans="26:36" ht="12" customHeight="1" x14ac:dyDescent="0.2"/>
    <row r="421" spans="26:36" ht="12" customHeight="1" thickBot="1" x14ac:dyDescent="0.25"/>
    <row r="422" spans="26:36" ht="12" customHeight="1" x14ac:dyDescent="0.2">
      <c r="AD422" s="977" t="s">
        <v>669</v>
      </c>
      <c r="AE422" s="978"/>
      <c r="AF422" s="978"/>
      <c r="AG422" s="978"/>
      <c r="AH422" s="979"/>
    </row>
    <row r="423" spans="26:36" ht="12" customHeight="1" thickBot="1" x14ac:dyDescent="0.25">
      <c r="AD423" s="980"/>
      <c r="AE423" s="981"/>
      <c r="AF423" s="981"/>
      <c r="AG423" s="981"/>
      <c r="AH423" s="982"/>
    </row>
    <row r="424" spans="26:36" ht="12" customHeight="1" x14ac:dyDescent="0.2">
      <c r="AD424" s="310"/>
      <c r="AE424" s="96"/>
      <c r="AF424" s="473" t="s">
        <v>33</v>
      </c>
      <c r="AG424" s="474"/>
      <c r="AH424" s="311"/>
    </row>
    <row r="425" spans="26:36" ht="12" customHeight="1" thickBot="1" x14ac:dyDescent="0.25">
      <c r="AD425" s="312" t="s">
        <v>121</v>
      </c>
      <c r="AE425" s="99"/>
      <c r="AF425" s="183" t="s">
        <v>122</v>
      </c>
      <c r="AG425" s="100" t="s">
        <v>38</v>
      </c>
      <c r="AH425" s="313" t="s">
        <v>123</v>
      </c>
    </row>
    <row r="426" spans="26:36" ht="12" customHeight="1" x14ac:dyDescent="0.2">
      <c r="AD426" s="435" t="s">
        <v>662</v>
      </c>
      <c r="AE426" s="436" t="s">
        <v>663</v>
      </c>
      <c r="AF426" s="187">
        <v>1</v>
      </c>
      <c r="AG426" s="230">
        <f>IF($G$18=0,0,IF($G$18&lt;350,0,IF($G$18&lt;=450,AF435,(IF($G$18&lt;=800,AF436,(IF($G$18&lt;=1200,AF437,(IF($G$18&lt;=1600,AF438,(IF($G$18&gt;1600,AF439)))))))))))</f>
        <v>0</v>
      </c>
      <c r="AH426" s="315">
        <f>AF426*AG426</f>
        <v>0</v>
      </c>
      <c r="AI426" s="4"/>
    </row>
    <row r="427" spans="26:36" ht="12" customHeight="1" x14ac:dyDescent="0.2">
      <c r="Z427" s="483"/>
      <c r="AA427" s="439" t="s">
        <v>781</v>
      </c>
      <c r="AB427" s="449"/>
      <c r="AD427" s="435" t="s">
        <v>664</v>
      </c>
      <c r="AE427" s="416" t="s">
        <v>665</v>
      </c>
      <c r="AF427" s="146">
        <v>1</v>
      </c>
      <c r="AG427" s="230">
        <f>IF($G$18=0,0,IF($G$18&lt;350,0,IF($G$18&lt;=450,AG435,(IF($G$18&lt;=800,AG436,(IF($G$18&lt;=1200,AG437,(IF($G$18&lt;=1600,AG438,(IF($G$18&gt;1600,AG439)))))))))))</f>
        <v>0</v>
      </c>
      <c r="AH427" s="315">
        <f>AF427*AG427</f>
        <v>0</v>
      </c>
      <c r="AI427" s="4"/>
    </row>
    <row r="428" spans="26:36" ht="12" customHeight="1" x14ac:dyDescent="0.2">
      <c r="Z428" s="484" t="s">
        <v>763</v>
      </c>
      <c r="AA428" s="485" t="s">
        <v>764</v>
      </c>
      <c r="AB428" s="486" t="s">
        <v>765</v>
      </c>
      <c r="AD428" s="435" t="s">
        <v>666</v>
      </c>
      <c r="AE428" s="49" t="s">
        <v>667</v>
      </c>
      <c r="AF428" s="360">
        <v>1</v>
      </c>
      <c r="AG428" s="300">
        <f>IF($G$18=0,0,IF($G$18&lt;350,0,IF($G$18&lt;=450,AH435,(IF($G$18&lt;=800,AH436,(IF($G$18&lt;=1200,AH437,(IF($G$18&lt;=1600,AH438,(IF($G$18&gt;1600,AH439)))))))))))</f>
        <v>0</v>
      </c>
      <c r="AH428" s="349">
        <f>AF428*AG428</f>
        <v>0</v>
      </c>
      <c r="AI428" s="4"/>
    </row>
    <row r="429" spans="26:36" ht="12" customHeight="1" x14ac:dyDescent="0.2">
      <c r="Z429" s="487" t="s">
        <v>779</v>
      </c>
      <c r="AA429" s="488" t="s">
        <v>779</v>
      </c>
      <c r="AB429" s="489">
        <f>AH430</f>
        <v>0</v>
      </c>
      <c r="AD429" s="435"/>
      <c r="AE429" s="49"/>
      <c r="AF429" s="323"/>
      <c r="AG429" s="80"/>
      <c r="AH429" s="318"/>
    </row>
    <row r="430" spans="26:36" ht="12" customHeight="1" thickBot="1" x14ac:dyDescent="0.25">
      <c r="Z430" s="490"/>
      <c r="AA430" s="448">
        <f>SUM(Z429:AB429)</f>
        <v>0</v>
      </c>
      <c r="AB430" s="449"/>
      <c r="AD430" s="379" t="s">
        <v>668</v>
      </c>
      <c r="AE430" s="347"/>
      <c r="AF430" s="356"/>
      <c r="AG430" s="321"/>
      <c r="AH430" s="322">
        <f>SUM(AH426:AH428)</f>
        <v>0</v>
      </c>
    </row>
    <row r="431" spans="26:36" ht="12" customHeight="1" x14ac:dyDescent="0.2"/>
    <row r="432" spans="26:36" ht="12" customHeight="1" thickBot="1" x14ac:dyDescent="0.25"/>
    <row r="433" spans="31:35" ht="12" customHeight="1" thickBot="1" x14ac:dyDescent="0.25">
      <c r="AE433" s="987" t="s">
        <v>102</v>
      </c>
      <c r="AF433" s="988"/>
      <c r="AG433" s="988"/>
      <c r="AH433" s="988"/>
      <c r="AI433" s="989"/>
    </row>
    <row r="434" spans="31:35" ht="12" customHeight="1" thickBot="1" x14ac:dyDescent="0.25">
      <c r="AE434" s="134" t="s">
        <v>103</v>
      </c>
      <c r="AF434" s="135" t="s">
        <v>662</v>
      </c>
      <c r="AG434" s="135" t="s">
        <v>664</v>
      </c>
      <c r="AH434" s="135" t="s">
        <v>666</v>
      </c>
      <c r="AI434" s="136" t="s">
        <v>179</v>
      </c>
    </row>
    <row r="435" spans="31:35" ht="12" customHeight="1" x14ac:dyDescent="0.2">
      <c r="AE435" s="137" t="s">
        <v>458</v>
      </c>
      <c r="AF435" s="138">
        <v>1000</v>
      </c>
      <c r="AG435" s="138">
        <v>0</v>
      </c>
      <c r="AH435" s="138">
        <v>100</v>
      </c>
      <c r="AI435" s="139">
        <f>SUM(AF435:AH435)</f>
        <v>1100</v>
      </c>
    </row>
    <row r="436" spans="31:35" ht="12" customHeight="1" x14ac:dyDescent="0.2">
      <c r="AE436" s="140" t="s">
        <v>569</v>
      </c>
      <c r="AF436" s="141">
        <v>1000</v>
      </c>
      <c r="AG436" s="141">
        <v>900</v>
      </c>
      <c r="AH436" s="141">
        <v>200</v>
      </c>
      <c r="AI436" s="139">
        <f t="shared" ref="AI436:AI439" si="51">SUM(AF436:AH436)</f>
        <v>2100</v>
      </c>
    </row>
    <row r="437" spans="31:35" ht="12" customHeight="1" x14ac:dyDescent="0.2">
      <c r="AE437" s="140" t="s">
        <v>570</v>
      </c>
      <c r="AF437" s="141">
        <v>1000</v>
      </c>
      <c r="AG437" s="141">
        <v>900</v>
      </c>
      <c r="AH437" s="141">
        <v>250</v>
      </c>
      <c r="AI437" s="139">
        <f t="shared" si="51"/>
        <v>2150</v>
      </c>
    </row>
    <row r="438" spans="31:35" ht="12" customHeight="1" x14ac:dyDescent="0.2">
      <c r="AE438" s="140" t="s">
        <v>571</v>
      </c>
      <c r="AF438" s="141">
        <v>2000</v>
      </c>
      <c r="AG438" s="141">
        <v>1800</v>
      </c>
      <c r="AH438" s="141">
        <v>300</v>
      </c>
      <c r="AI438" s="139">
        <f t="shared" si="51"/>
        <v>4100</v>
      </c>
    </row>
    <row r="439" spans="31:35" ht="12" customHeight="1" thickBot="1" x14ac:dyDescent="0.25">
      <c r="AE439" s="494" t="s">
        <v>575</v>
      </c>
      <c r="AF439" s="495">
        <v>4000</v>
      </c>
      <c r="AG439" s="495">
        <v>1800</v>
      </c>
      <c r="AH439" s="495">
        <v>400</v>
      </c>
      <c r="AI439" s="506">
        <f t="shared" si="51"/>
        <v>6200</v>
      </c>
    </row>
    <row r="440" spans="31:35" ht="12" customHeight="1" thickBot="1" x14ac:dyDescent="0.25">
      <c r="AE440" s="990" t="s">
        <v>110</v>
      </c>
      <c r="AF440" s="991"/>
      <c r="AG440" s="991"/>
      <c r="AH440" s="991"/>
      <c r="AI440" s="992"/>
    </row>
    <row r="441" spans="31:35" ht="12" customHeight="1" x14ac:dyDescent="0.2"/>
    <row r="442" spans="31:35" ht="12" customHeight="1" x14ac:dyDescent="0.2"/>
    <row r="443" spans="31:35" ht="12" customHeight="1" x14ac:dyDescent="0.2"/>
    <row r="444" spans="31:35" ht="12" customHeight="1" x14ac:dyDescent="0.2"/>
    <row r="445" spans="31:35" ht="12" customHeight="1" x14ac:dyDescent="0.2"/>
    <row r="446" spans="31:35" ht="12" customHeight="1" x14ac:dyDescent="0.2"/>
    <row r="447" spans="31:35" ht="12" customHeight="1" x14ac:dyDescent="0.2"/>
    <row r="448" spans="31:35"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75" customHeight="1" x14ac:dyDescent="0.2"/>
    <row r="483" ht="12.75" customHeight="1" x14ac:dyDescent="0.2"/>
    <row r="484" ht="12.75" customHeight="1" x14ac:dyDescent="0.2"/>
    <row r="485" ht="12.75" customHeight="1" x14ac:dyDescent="0.2"/>
  </sheetData>
  <sheetProtection password="D821" sheet="1" objects="1" scenarios="1" selectLockedCells="1"/>
  <mergeCells count="161">
    <mergeCell ref="AE325:AF325"/>
    <mergeCell ref="AE332:AF332"/>
    <mergeCell ref="K36:M36"/>
    <mergeCell ref="K38:M38"/>
    <mergeCell ref="G28:H28"/>
    <mergeCell ref="C90:M90"/>
    <mergeCell ref="C91:M91"/>
    <mergeCell ref="C92:M92"/>
    <mergeCell ref="C93:M93"/>
    <mergeCell ref="C83:M83"/>
    <mergeCell ref="C84:M84"/>
    <mergeCell ref="C85:M85"/>
    <mergeCell ref="C50:G51"/>
    <mergeCell ref="C48:M48"/>
    <mergeCell ref="C82:M82"/>
    <mergeCell ref="C78:M78"/>
    <mergeCell ref="K33:M33"/>
    <mergeCell ref="K34:M34"/>
    <mergeCell ref="AD316:AH317"/>
    <mergeCell ref="AD240:AH241"/>
    <mergeCell ref="AD256:AJ256"/>
    <mergeCell ref="AE262:AN262"/>
    <mergeCell ref="AE269:AN269"/>
    <mergeCell ref="AE168:AP168"/>
    <mergeCell ref="BV81:BX81"/>
    <mergeCell ref="BT91:BZ91"/>
    <mergeCell ref="BU96:BV96"/>
    <mergeCell ref="BU104:BV104"/>
    <mergeCell ref="BT117:BX118"/>
    <mergeCell ref="BU106:BZ106"/>
    <mergeCell ref="BU114:BZ114"/>
    <mergeCell ref="AD95:AJ95"/>
    <mergeCell ref="AE100:AF100"/>
    <mergeCell ref="AE108:AF108"/>
    <mergeCell ref="AE110:AM110"/>
    <mergeCell ref="AE117:AM117"/>
    <mergeCell ref="BU37:CH37"/>
    <mergeCell ref="BT79:BX80"/>
    <mergeCell ref="AZ368:BD369"/>
    <mergeCell ref="BA378:BE378"/>
    <mergeCell ref="AZ203:BD204"/>
    <mergeCell ref="BA217:BI217"/>
    <mergeCell ref="BA225:BI225"/>
    <mergeCell ref="AZ147:BD148"/>
    <mergeCell ref="BA157:BE157"/>
    <mergeCell ref="BA165:BE165"/>
    <mergeCell ref="AZ77:BD78"/>
    <mergeCell ref="AZ90:BF90"/>
    <mergeCell ref="BA95:BB95"/>
    <mergeCell ref="BU213:BX213"/>
    <mergeCell ref="BU218:BX218"/>
    <mergeCell ref="BU310:BX310"/>
    <mergeCell ref="BU298:BX298"/>
    <mergeCell ref="BT301:BX302"/>
    <mergeCell ref="BU137:BY137"/>
    <mergeCell ref="BU145:BY145"/>
    <mergeCell ref="BT148:BX149"/>
    <mergeCell ref="BU157:BX157"/>
    <mergeCell ref="BU165:BX165"/>
    <mergeCell ref="BT204:BX205"/>
    <mergeCell ref="BA386:BE386"/>
    <mergeCell ref="AZ389:BD390"/>
    <mergeCell ref="BA399:BD399"/>
    <mergeCell ref="BA407:BD407"/>
    <mergeCell ref="AZ305:BD306"/>
    <mergeCell ref="BA314:BD314"/>
    <mergeCell ref="BA322:BD322"/>
    <mergeCell ref="BA103:BB103"/>
    <mergeCell ref="AZ116:BD117"/>
    <mergeCell ref="BA136:BE136"/>
    <mergeCell ref="BA144:BE144"/>
    <mergeCell ref="BA105:BG105"/>
    <mergeCell ref="BA113:BG113"/>
    <mergeCell ref="AE412:AJ412"/>
    <mergeCell ref="AE419:AJ419"/>
    <mergeCell ref="AD422:AH423"/>
    <mergeCell ref="AE433:AI433"/>
    <mergeCell ref="AE440:AI440"/>
    <mergeCell ref="AZ4:BD5"/>
    <mergeCell ref="AZ21:BF21"/>
    <mergeCell ref="BA27:BL27"/>
    <mergeCell ref="BA35:BL35"/>
    <mergeCell ref="AE368:AO368"/>
    <mergeCell ref="AE375:AO375"/>
    <mergeCell ref="AD379:AH380"/>
    <mergeCell ref="AE392:AK392"/>
    <mergeCell ref="AE399:AK399"/>
    <mergeCell ref="AD401:AH402"/>
    <mergeCell ref="AD336:AH337"/>
    <mergeCell ref="AD355:AL355"/>
    <mergeCell ref="AE361:AH361"/>
    <mergeCell ref="AE366:AH366"/>
    <mergeCell ref="AD279:AH280"/>
    <mergeCell ref="AE295:AJ295"/>
    <mergeCell ref="AE303:AJ303"/>
    <mergeCell ref="AE305:AH305"/>
    <mergeCell ref="AE312:AH312"/>
    <mergeCell ref="AE230:AN230"/>
    <mergeCell ref="AE237:AN237"/>
    <mergeCell ref="C89:M89"/>
    <mergeCell ref="AE78:AK78"/>
    <mergeCell ref="C79:M79"/>
    <mergeCell ref="C80:M80"/>
    <mergeCell ref="AD80:AH81"/>
    <mergeCell ref="C81:M81"/>
    <mergeCell ref="AD57:AJ57"/>
    <mergeCell ref="AE71:AK71"/>
    <mergeCell ref="AE175:AP175"/>
    <mergeCell ref="AD178:AH179"/>
    <mergeCell ref="AD211:AH212"/>
    <mergeCell ref="AD121:AH122"/>
    <mergeCell ref="AE131:AF131"/>
    <mergeCell ref="AE139:AF139"/>
    <mergeCell ref="AE141:AI141"/>
    <mergeCell ref="AE148:AI148"/>
    <mergeCell ref="AD151:AH152"/>
    <mergeCell ref="AE202:AV202"/>
    <mergeCell ref="AE209:AV209"/>
    <mergeCell ref="AE39:AU39"/>
    <mergeCell ref="AD45:AH46"/>
    <mergeCell ref="C46:M46"/>
    <mergeCell ref="C41:M41"/>
    <mergeCell ref="C42:M42"/>
    <mergeCell ref="C43:M45"/>
    <mergeCell ref="C86:M86"/>
    <mergeCell ref="C87:M87"/>
    <mergeCell ref="C88:M88"/>
    <mergeCell ref="A1:M1"/>
    <mergeCell ref="A4:M8"/>
    <mergeCell ref="AD4:AH5"/>
    <mergeCell ref="C11:H12"/>
    <mergeCell ref="K11:M12"/>
    <mergeCell ref="G14:H14"/>
    <mergeCell ref="K14:M14"/>
    <mergeCell ref="C10:H10"/>
    <mergeCell ref="U16:U18"/>
    <mergeCell ref="Q16:Q18"/>
    <mergeCell ref="O16:O18"/>
    <mergeCell ref="S16:S18"/>
    <mergeCell ref="G17:H17"/>
    <mergeCell ref="K17:M17"/>
    <mergeCell ref="K18:M18"/>
    <mergeCell ref="C33:F33"/>
    <mergeCell ref="C34:F34"/>
    <mergeCell ref="CK4:CN4"/>
    <mergeCell ref="AE32:AU32"/>
    <mergeCell ref="G29:H29"/>
    <mergeCell ref="C31:F31"/>
    <mergeCell ref="G26:H26"/>
    <mergeCell ref="AD26:AJ26"/>
    <mergeCell ref="G18:H18"/>
    <mergeCell ref="G16:H16"/>
    <mergeCell ref="K16:M16"/>
    <mergeCell ref="K31:M31"/>
    <mergeCell ref="K32:M32"/>
    <mergeCell ref="C32:F32"/>
    <mergeCell ref="BT4:BX5"/>
    <mergeCell ref="BT23:BZ23"/>
    <mergeCell ref="BU29:CH29"/>
    <mergeCell ref="G19:H19"/>
    <mergeCell ref="K19:M19"/>
  </mergeCells>
  <pageMargins left="1" right="0.5" top="1" bottom="0.37" header="0.5" footer="0.25"/>
  <pageSetup scale="6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81" r:id="rId4" name="Option Button 1">
              <controlPr defaultSize="0" autoFill="0" autoLine="0" autoPict="0">
                <anchor moveWithCells="1">
                  <from>
                    <xdr:col>3</xdr:col>
                    <xdr:colOff>809625</xdr:colOff>
                    <xdr:row>27</xdr:row>
                    <xdr:rowOff>0</xdr:rowOff>
                  </from>
                  <to>
                    <xdr:col>3</xdr:col>
                    <xdr:colOff>1981200</xdr:colOff>
                    <xdr:row>28</xdr:row>
                    <xdr:rowOff>47625</xdr:rowOff>
                  </to>
                </anchor>
              </controlPr>
            </control>
          </mc:Choice>
        </mc:AlternateContent>
        <mc:AlternateContent xmlns:mc="http://schemas.openxmlformats.org/markup-compatibility/2006">
          <mc:Choice Requires="x14">
            <control shapeId="20482" r:id="rId5" name="Option Button 2">
              <controlPr defaultSize="0" autoFill="0" autoLine="0" autoPict="0">
                <anchor moveWithCells="1">
                  <from>
                    <xdr:col>3</xdr:col>
                    <xdr:colOff>2047875</xdr:colOff>
                    <xdr:row>27</xdr:row>
                    <xdr:rowOff>0</xdr:rowOff>
                  </from>
                  <to>
                    <xdr:col>5</xdr:col>
                    <xdr:colOff>276225</xdr:colOff>
                    <xdr:row>28</xdr:row>
                    <xdr:rowOff>66675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61"/>
  <sheetViews>
    <sheetView topLeftCell="AL1" zoomScaleSheetLayoutView="100" workbookViewId="0">
      <selection activeCell="AL32" sqref="AL32"/>
    </sheetView>
  </sheetViews>
  <sheetFormatPr defaultColWidth="8.7109375" defaultRowHeight="12.75" x14ac:dyDescent="0.2"/>
  <cols>
    <col min="1" max="1" width="10" style="823" customWidth="1"/>
    <col min="2" max="2" width="4.42578125" style="823" customWidth="1"/>
    <col min="3" max="3" width="8.7109375" style="823"/>
    <col min="4" max="4" width="3.85546875" style="823" customWidth="1"/>
    <col min="5" max="5" width="8.85546875" style="823" customWidth="1"/>
    <col min="6" max="6" width="9.42578125" style="823" customWidth="1"/>
    <col min="7" max="11" width="10.7109375" style="823" customWidth="1"/>
    <col min="12" max="12" width="8.7109375" style="823"/>
    <col min="13" max="13" width="3.42578125" style="823" customWidth="1"/>
    <col min="14" max="16" width="7.42578125" style="823" customWidth="1"/>
    <col min="17" max="17" width="8.28515625" style="823" customWidth="1"/>
    <col min="18" max="18" width="2" style="823" customWidth="1"/>
    <col min="19" max="19" width="7.42578125" style="823" customWidth="1"/>
    <col min="20" max="20" width="2" style="823" customWidth="1"/>
    <col min="21" max="21" width="7.42578125" style="823" customWidth="1"/>
    <col min="22" max="22" width="8.7109375" style="823"/>
    <col min="23" max="23" width="10.42578125" style="823" customWidth="1"/>
    <col min="24" max="24" width="1.28515625" style="823" customWidth="1"/>
    <col min="25" max="29" width="8.7109375" style="823"/>
    <col min="30" max="30" width="1.28515625" style="823" customWidth="1"/>
    <col min="31" max="35" width="8.7109375" style="823"/>
    <col min="36" max="36" width="1.28515625" style="823" customWidth="1"/>
    <col min="37" max="41" width="8.7109375" style="823"/>
    <col min="42" max="42" width="1.28515625" style="823" customWidth="1"/>
    <col min="43" max="47" width="8.7109375" style="823"/>
    <col min="48" max="48" width="1.28515625" style="823" customWidth="1"/>
    <col min="49" max="53" width="8.7109375" style="823"/>
    <col min="54" max="54" width="1.28515625" style="823" customWidth="1"/>
    <col min="55" max="59" width="8.7109375" style="823"/>
    <col min="60" max="60" width="1.28515625" style="823" customWidth="1"/>
    <col min="61" max="65" width="8.7109375" style="823"/>
    <col min="66" max="66" width="1.28515625" style="823" customWidth="1"/>
    <col min="67" max="256" width="8.7109375" style="823"/>
    <col min="257" max="257" width="10" style="823" customWidth="1"/>
    <col min="258" max="258" width="4.42578125" style="823" customWidth="1"/>
    <col min="259" max="259" width="8.7109375" style="823"/>
    <col min="260" max="260" width="3.85546875" style="823" customWidth="1"/>
    <col min="261" max="261" width="8.85546875" style="823" customWidth="1"/>
    <col min="262" max="262" width="9.42578125" style="823" customWidth="1"/>
    <col min="263" max="267" width="10.7109375" style="823" customWidth="1"/>
    <col min="268" max="268" width="8.7109375" style="823"/>
    <col min="269" max="269" width="3.42578125" style="823" customWidth="1"/>
    <col min="270" max="272" width="7.42578125" style="823" customWidth="1"/>
    <col min="273" max="273" width="8.28515625" style="823" customWidth="1"/>
    <col min="274" max="274" width="2" style="823" customWidth="1"/>
    <col min="275" max="275" width="7.42578125" style="823" customWidth="1"/>
    <col min="276" max="276" width="2" style="823" customWidth="1"/>
    <col min="277" max="277" width="7.42578125" style="823" customWidth="1"/>
    <col min="278" max="278" width="8.7109375" style="823"/>
    <col min="279" max="279" width="10.42578125" style="823" customWidth="1"/>
    <col min="280" max="280" width="1.28515625" style="823" customWidth="1"/>
    <col min="281" max="285" width="8.7109375" style="823"/>
    <col min="286" max="286" width="1.28515625" style="823" customWidth="1"/>
    <col min="287" max="291" width="8.7109375" style="823"/>
    <col min="292" max="292" width="1.28515625" style="823" customWidth="1"/>
    <col min="293" max="297" width="8.7109375" style="823"/>
    <col min="298" max="298" width="1.28515625" style="823" customWidth="1"/>
    <col min="299" max="303" width="8.7109375" style="823"/>
    <col min="304" max="304" width="1.28515625" style="823" customWidth="1"/>
    <col min="305" max="309" width="8.7109375" style="823"/>
    <col min="310" max="310" width="1.28515625" style="823" customWidth="1"/>
    <col min="311" max="315" width="8.7109375" style="823"/>
    <col min="316" max="316" width="1.28515625" style="823" customWidth="1"/>
    <col min="317" max="321" width="8.7109375" style="823"/>
    <col min="322" max="322" width="1.28515625" style="823" customWidth="1"/>
    <col min="323" max="512" width="8.7109375" style="823"/>
    <col min="513" max="513" width="10" style="823" customWidth="1"/>
    <col min="514" max="514" width="4.42578125" style="823" customWidth="1"/>
    <col min="515" max="515" width="8.7109375" style="823"/>
    <col min="516" max="516" width="3.85546875" style="823" customWidth="1"/>
    <col min="517" max="517" width="8.85546875" style="823" customWidth="1"/>
    <col min="518" max="518" width="9.42578125" style="823" customWidth="1"/>
    <col min="519" max="523" width="10.7109375" style="823" customWidth="1"/>
    <col min="524" max="524" width="8.7109375" style="823"/>
    <col min="525" max="525" width="3.42578125" style="823" customWidth="1"/>
    <col min="526" max="528" width="7.42578125" style="823" customWidth="1"/>
    <col min="529" max="529" width="8.28515625" style="823" customWidth="1"/>
    <col min="530" max="530" width="2" style="823" customWidth="1"/>
    <col min="531" max="531" width="7.42578125" style="823" customWidth="1"/>
    <col min="532" max="532" width="2" style="823" customWidth="1"/>
    <col min="533" max="533" width="7.42578125" style="823" customWidth="1"/>
    <col min="534" max="534" width="8.7109375" style="823"/>
    <col min="535" max="535" width="10.42578125" style="823" customWidth="1"/>
    <col min="536" max="536" width="1.28515625" style="823" customWidth="1"/>
    <col min="537" max="541" width="8.7109375" style="823"/>
    <col min="542" max="542" width="1.28515625" style="823" customWidth="1"/>
    <col min="543" max="547" width="8.7109375" style="823"/>
    <col min="548" max="548" width="1.28515625" style="823" customWidth="1"/>
    <col min="549" max="553" width="8.7109375" style="823"/>
    <col min="554" max="554" width="1.28515625" style="823" customWidth="1"/>
    <col min="555" max="559" width="8.7109375" style="823"/>
    <col min="560" max="560" width="1.28515625" style="823" customWidth="1"/>
    <col min="561" max="565" width="8.7109375" style="823"/>
    <col min="566" max="566" width="1.28515625" style="823" customWidth="1"/>
    <col min="567" max="571" width="8.7109375" style="823"/>
    <col min="572" max="572" width="1.28515625" style="823" customWidth="1"/>
    <col min="573" max="577" width="8.7109375" style="823"/>
    <col min="578" max="578" width="1.28515625" style="823" customWidth="1"/>
    <col min="579" max="768" width="8.7109375" style="823"/>
    <col min="769" max="769" width="10" style="823" customWidth="1"/>
    <col min="770" max="770" width="4.42578125" style="823" customWidth="1"/>
    <col min="771" max="771" width="8.7109375" style="823"/>
    <col min="772" max="772" width="3.85546875" style="823" customWidth="1"/>
    <col min="773" max="773" width="8.85546875" style="823" customWidth="1"/>
    <col min="774" max="774" width="9.42578125" style="823" customWidth="1"/>
    <col min="775" max="779" width="10.7109375" style="823" customWidth="1"/>
    <col min="780" max="780" width="8.7109375" style="823"/>
    <col min="781" max="781" width="3.42578125" style="823" customWidth="1"/>
    <col min="782" max="784" width="7.42578125" style="823" customWidth="1"/>
    <col min="785" max="785" width="8.28515625" style="823" customWidth="1"/>
    <col min="786" max="786" width="2" style="823" customWidth="1"/>
    <col min="787" max="787" width="7.42578125" style="823" customWidth="1"/>
    <col min="788" max="788" width="2" style="823" customWidth="1"/>
    <col min="789" max="789" width="7.42578125" style="823" customWidth="1"/>
    <col min="790" max="790" width="8.7109375" style="823"/>
    <col min="791" max="791" width="10.42578125" style="823" customWidth="1"/>
    <col min="792" max="792" width="1.28515625" style="823" customWidth="1"/>
    <col min="793" max="797" width="8.7109375" style="823"/>
    <col min="798" max="798" width="1.28515625" style="823" customWidth="1"/>
    <col min="799" max="803" width="8.7109375" style="823"/>
    <col min="804" max="804" width="1.28515625" style="823" customWidth="1"/>
    <col min="805" max="809" width="8.7109375" style="823"/>
    <col min="810" max="810" width="1.28515625" style="823" customWidth="1"/>
    <col min="811" max="815" width="8.7109375" style="823"/>
    <col min="816" max="816" width="1.28515625" style="823" customWidth="1"/>
    <col min="817" max="821" width="8.7109375" style="823"/>
    <col min="822" max="822" width="1.28515625" style="823" customWidth="1"/>
    <col min="823" max="827" width="8.7109375" style="823"/>
    <col min="828" max="828" width="1.28515625" style="823" customWidth="1"/>
    <col min="829" max="833" width="8.7109375" style="823"/>
    <col min="834" max="834" width="1.28515625" style="823" customWidth="1"/>
    <col min="835" max="1024" width="8.7109375" style="823"/>
    <col min="1025" max="1025" width="10" style="823" customWidth="1"/>
    <col min="1026" max="1026" width="4.42578125" style="823" customWidth="1"/>
    <col min="1027" max="1027" width="8.7109375" style="823"/>
    <col min="1028" max="1028" width="3.85546875" style="823" customWidth="1"/>
    <col min="1029" max="1029" width="8.85546875" style="823" customWidth="1"/>
    <col min="1030" max="1030" width="9.42578125" style="823" customWidth="1"/>
    <col min="1031" max="1035" width="10.7109375" style="823" customWidth="1"/>
    <col min="1036" max="1036" width="8.7109375" style="823"/>
    <col min="1037" max="1037" width="3.42578125" style="823" customWidth="1"/>
    <col min="1038" max="1040" width="7.42578125" style="823" customWidth="1"/>
    <col min="1041" max="1041" width="8.28515625" style="823" customWidth="1"/>
    <col min="1042" max="1042" width="2" style="823" customWidth="1"/>
    <col min="1043" max="1043" width="7.42578125" style="823" customWidth="1"/>
    <col min="1044" max="1044" width="2" style="823" customWidth="1"/>
    <col min="1045" max="1045" width="7.42578125" style="823" customWidth="1"/>
    <col min="1046" max="1046" width="8.7109375" style="823"/>
    <col min="1047" max="1047" width="10.42578125" style="823" customWidth="1"/>
    <col min="1048" max="1048" width="1.28515625" style="823" customWidth="1"/>
    <col min="1049" max="1053" width="8.7109375" style="823"/>
    <col min="1054" max="1054" width="1.28515625" style="823" customWidth="1"/>
    <col min="1055" max="1059" width="8.7109375" style="823"/>
    <col min="1060" max="1060" width="1.28515625" style="823" customWidth="1"/>
    <col min="1061" max="1065" width="8.7109375" style="823"/>
    <col min="1066" max="1066" width="1.28515625" style="823" customWidth="1"/>
    <col min="1067" max="1071" width="8.7109375" style="823"/>
    <col min="1072" max="1072" width="1.28515625" style="823" customWidth="1"/>
    <col min="1073" max="1077" width="8.7109375" style="823"/>
    <col min="1078" max="1078" width="1.28515625" style="823" customWidth="1"/>
    <col min="1079" max="1083" width="8.7109375" style="823"/>
    <col min="1084" max="1084" width="1.28515625" style="823" customWidth="1"/>
    <col min="1085" max="1089" width="8.7109375" style="823"/>
    <col min="1090" max="1090" width="1.28515625" style="823" customWidth="1"/>
    <col min="1091" max="1280" width="8.7109375" style="823"/>
    <col min="1281" max="1281" width="10" style="823" customWidth="1"/>
    <col min="1282" max="1282" width="4.42578125" style="823" customWidth="1"/>
    <col min="1283" max="1283" width="8.7109375" style="823"/>
    <col min="1284" max="1284" width="3.85546875" style="823" customWidth="1"/>
    <col min="1285" max="1285" width="8.85546875" style="823" customWidth="1"/>
    <col min="1286" max="1286" width="9.42578125" style="823" customWidth="1"/>
    <col min="1287" max="1291" width="10.7109375" style="823" customWidth="1"/>
    <col min="1292" max="1292" width="8.7109375" style="823"/>
    <col min="1293" max="1293" width="3.42578125" style="823" customWidth="1"/>
    <col min="1294" max="1296" width="7.42578125" style="823" customWidth="1"/>
    <col min="1297" max="1297" width="8.28515625" style="823" customWidth="1"/>
    <col min="1298" max="1298" width="2" style="823" customWidth="1"/>
    <col min="1299" max="1299" width="7.42578125" style="823" customWidth="1"/>
    <col min="1300" max="1300" width="2" style="823" customWidth="1"/>
    <col min="1301" max="1301" width="7.42578125" style="823" customWidth="1"/>
    <col min="1302" max="1302" width="8.7109375" style="823"/>
    <col min="1303" max="1303" width="10.42578125" style="823" customWidth="1"/>
    <col min="1304" max="1304" width="1.28515625" style="823" customWidth="1"/>
    <col min="1305" max="1309" width="8.7109375" style="823"/>
    <col min="1310" max="1310" width="1.28515625" style="823" customWidth="1"/>
    <col min="1311" max="1315" width="8.7109375" style="823"/>
    <col min="1316" max="1316" width="1.28515625" style="823" customWidth="1"/>
    <col min="1317" max="1321" width="8.7109375" style="823"/>
    <col min="1322" max="1322" width="1.28515625" style="823" customWidth="1"/>
    <col min="1323" max="1327" width="8.7109375" style="823"/>
    <col min="1328" max="1328" width="1.28515625" style="823" customWidth="1"/>
    <col min="1329" max="1333" width="8.7109375" style="823"/>
    <col min="1334" max="1334" width="1.28515625" style="823" customWidth="1"/>
    <col min="1335" max="1339" width="8.7109375" style="823"/>
    <col min="1340" max="1340" width="1.28515625" style="823" customWidth="1"/>
    <col min="1341" max="1345" width="8.7109375" style="823"/>
    <col min="1346" max="1346" width="1.28515625" style="823" customWidth="1"/>
    <col min="1347" max="1536" width="8.7109375" style="823"/>
    <col min="1537" max="1537" width="10" style="823" customWidth="1"/>
    <col min="1538" max="1538" width="4.42578125" style="823" customWidth="1"/>
    <col min="1539" max="1539" width="8.7109375" style="823"/>
    <col min="1540" max="1540" width="3.85546875" style="823" customWidth="1"/>
    <col min="1541" max="1541" width="8.85546875" style="823" customWidth="1"/>
    <col min="1542" max="1542" width="9.42578125" style="823" customWidth="1"/>
    <col min="1543" max="1547" width="10.7109375" style="823" customWidth="1"/>
    <col min="1548" max="1548" width="8.7109375" style="823"/>
    <col min="1549" max="1549" width="3.42578125" style="823" customWidth="1"/>
    <col min="1550" max="1552" width="7.42578125" style="823" customWidth="1"/>
    <col min="1553" max="1553" width="8.28515625" style="823" customWidth="1"/>
    <col min="1554" max="1554" width="2" style="823" customWidth="1"/>
    <col min="1555" max="1555" width="7.42578125" style="823" customWidth="1"/>
    <col min="1556" max="1556" width="2" style="823" customWidth="1"/>
    <col min="1557" max="1557" width="7.42578125" style="823" customWidth="1"/>
    <col min="1558" max="1558" width="8.7109375" style="823"/>
    <col min="1559" max="1559" width="10.42578125" style="823" customWidth="1"/>
    <col min="1560" max="1560" width="1.28515625" style="823" customWidth="1"/>
    <col min="1561" max="1565" width="8.7109375" style="823"/>
    <col min="1566" max="1566" width="1.28515625" style="823" customWidth="1"/>
    <col min="1567" max="1571" width="8.7109375" style="823"/>
    <col min="1572" max="1572" width="1.28515625" style="823" customWidth="1"/>
    <col min="1573" max="1577" width="8.7109375" style="823"/>
    <col min="1578" max="1578" width="1.28515625" style="823" customWidth="1"/>
    <col min="1579" max="1583" width="8.7109375" style="823"/>
    <col min="1584" max="1584" width="1.28515625" style="823" customWidth="1"/>
    <col min="1585" max="1589" width="8.7109375" style="823"/>
    <col min="1590" max="1590" width="1.28515625" style="823" customWidth="1"/>
    <col min="1591" max="1595" width="8.7109375" style="823"/>
    <col min="1596" max="1596" width="1.28515625" style="823" customWidth="1"/>
    <col min="1597" max="1601" width="8.7109375" style="823"/>
    <col min="1602" max="1602" width="1.28515625" style="823" customWidth="1"/>
    <col min="1603" max="1792" width="8.7109375" style="823"/>
    <col min="1793" max="1793" width="10" style="823" customWidth="1"/>
    <col min="1794" max="1794" width="4.42578125" style="823" customWidth="1"/>
    <col min="1795" max="1795" width="8.7109375" style="823"/>
    <col min="1796" max="1796" width="3.85546875" style="823" customWidth="1"/>
    <col min="1797" max="1797" width="8.85546875" style="823" customWidth="1"/>
    <col min="1798" max="1798" width="9.42578125" style="823" customWidth="1"/>
    <col min="1799" max="1803" width="10.7109375" style="823" customWidth="1"/>
    <col min="1804" max="1804" width="8.7109375" style="823"/>
    <col min="1805" max="1805" width="3.42578125" style="823" customWidth="1"/>
    <col min="1806" max="1808" width="7.42578125" style="823" customWidth="1"/>
    <col min="1809" max="1809" width="8.28515625" style="823" customWidth="1"/>
    <col min="1810" max="1810" width="2" style="823" customWidth="1"/>
    <col min="1811" max="1811" width="7.42578125" style="823" customWidth="1"/>
    <col min="1812" max="1812" width="2" style="823" customWidth="1"/>
    <col min="1813" max="1813" width="7.42578125" style="823" customWidth="1"/>
    <col min="1814" max="1814" width="8.7109375" style="823"/>
    <col min="1815" max="1815" width="10.42578125" style="823" customWidth="1"/>
    <col min="1816" max="1816" width="1.28515625" style="823" customWidth="1"/>
    <col min="1817" max="1821" width="8.7109375" style="823"/>
    <col min="1822" max="1822" width="1.28515625" style="823" customWidth="1"/>
    <col min="1823" max="1827" width="8.7109375" style="823"/>
    <col min="1828" max="1828" width="1.28515625" style="823" customWidth="1"/>
    <col min="1829" max="1833" width="8.7109375" style="823"/>
    <col min="1834" max="1834" width="1.28515625" style="823" customWidth="1"/>
    <col min="1835" max="1839" width="8.7109375" style="823"/>
    <col min="1840" max="1840" width="1.28515625" style="823" customWidth="1"/>
    <col min="1841" max="1845" width="8.7109375" style="823"/>
    <col min="1846" max="1846" width="1.28515625" style="823" customWidth="1"/>
    <col min="1847" max="1851" width="8.7109375" style="823"/>
    <col min="1852" max="1852" width="1.28515625" style="823" customWidth="1"/>
    <col min="1853" max="1857" width="8.7109375" style="823"/>
    <col min="1858" max="1858" width="1.28515625" style="823" customWidth="1"/>
    <col min="1859" max="2048" width="8.7109375" style="823"/>
    <col min="2049" max="2049" width="10" style="823" customWidth="1"/>
    <col min="2050" max="2050" width="4.42578125" style="823" customWidth="1"/>
    <col min="2051" max="2051" width="8.7109375" style="823"/>
    <col min="2052" max="2052" width="3.85546875" style="823" customWidth="1"/>
    <col min="2053" max="2053" width="8.85546875" style="823" customWidth="1"/>
    <col min="2054" max="2054" width="9.42578125" style="823" customWidth="1"/>
    <col min="2055" max="2059" width="10.7109375" style="823" customWidth="1"/>
    <col min="2060" max="2060" width="8.7109375" style="823"/>
    <col min="2061" max="2061" width="3.42578125" style="823" customWidth="1"/>
    <col min="2062" max="2064" width="7.42578125" style="823" customWidth="1"/>
    <col min="2065" max="2065" width="8.28515625" style="823" customWidth="1"/>
    <col min="2066" max="2066" width="2" style="823" customWidth="1"/>
    <col min="2067" max="2067" width="7.42578125" style="823" customWidth="1"/>
    <col min="2068" max="2068" width="2" style="823" customWidth="1"/>
    <col min="2069" max="2069" width="7.42578125" style="823" customWidth="1"/>
    <col min="2070" max="2070" width="8.7109375" style="823"/>
    <col min="2071" max="2071" width="10.42578125" style="823" customWidth="1"/>
    <col min="2072" max="2072" width="1.28515625" style="823" customWidth="1"/>
    <col min="2073" max="2077" width="8.7109375" style="823"/>
    <col min="2078" max="2078" width="1.28515625" style="823" customWidth="1"/>
    <col min="2079" max="2083" width="8.7109375" style="823"/>
    <col min="2084" max="2084" width="1.28515625" style="823" customWidth="1"/>
    <col min="2085" max="2089" width="8.7109375" style="823"/>
    <col min="2090" max="2090" width="1.28515625" style="823" customWidth="1"/>
    <col min="2091" max="2095" width="8.7109375" style="823"/>
    <col min="2096" max="2096" width="1.28515625" style="823" customWidth="1"/>
    <col min="2097" max="2101" width="8.7109375" style="823"/>
    <col min="2102" max="2102" width="1.28515625" style="823" customWidth="1"/>
    <col min="2103" max="2107" width="8.7109375" style="823"/>
    <col min="2108" max="2108" width="1.28515625" style="823" customWidth="1"/>
    <col min="2109" max="2113" width="8.7109375" style="823"/>
    <col min="2114" max="2114" width="1.28515625" style="823" customWidth="1"/>
    <col min="2115" max="2304" width="8.7109375" style="823"/>
    <col min="2305" max="2305" width="10" style="823" customWidth="1"/>
    <col min="2306" max="2306" width="4.42578125" style="823" customWidth="1"/>
    <col min="2307" max="2307" width="8.7109375" style="823"/>
    <col min="2308" max="2308" width="3.85546875" style="823" customWidth="1"/>
    <col min="2309" max="2309" width="8.85546875" style="823" customWidth="1"/>
    <col min="2310" max="2310" width="9.42578125" style="823" customWidth="1"/>
    <col min="2311" max="2315" width="10.7109375" style="823" customWidth="1"/>
    <col min="2316" max="2316" width="8.7109375" style="823"/>
    <col min="2317" max="2317" width="3.42578125" style="823" customWidth="1"/>
    <col min="2318" max="2320" width="7.42578125" style="823" customWidth="1"/>
    <col min="2321" max="2321" width="8.28515625" style="823" customWidth="1"/>
    <col min="2322" max="2322" width="2" style="823" customWidth="1"/>
    <col min="2323" max="2323" width="7.42578125" style="823" customWidth="1"/>
    <col min="2324" max="2324" width="2" style="823" customWidth="1"/>
    <col min="2325" max="2325" width="7.42578125" style="823" customWidth="1"/>
    <col min="2326" max="2326" width="8.7109375" style="823"/>
    <col min="2327" max="2327" width="10.42578125" style="823" customWidth="1"/>
    <col min="2328" max="2328" width="1.28515625" style="823" customWidth="1"/>
    <col min="2329" max="2333" width="8.7109375" style="823"/>
    <col min="2334" max="2334" width="1.28515625" style="823" customWidth="1"/>
    <col min="2335" max="2339" width="8.7109375" style="823"/>
    <col min="2340" max="2340" width="1.28515625" style="823" customWidth="1"/>
    <col min="2341" max="2345" width="8.7109375" style="823"/>
    <col min="2346" max="2346" width="1.28515625" style="823" customWidth="1"/>
    <col min="2347" max="2351" width="8.7109375" style="823"/>
    <col min="2352" max="2352" width="1.28515625" style="823" customWidth="1"/>
    <col min="2353" max="2357" width="8.7109375" style="823"/>
    <col min="2358" max="2358" width="1.28515625" style="823" customWidth="1"/>
    <col min="2359" max="2363" width="8.7109375" style="823"/>
    <col min="2364" max="2364" width="1.28515625" style="823" customWidth="1"/>
    <col min="2365" max="2369" width="8.7109375" style="823"/>
    <col min="2370" max="2370" width="1.28515625" style="823" customWidth="1"/>
    <col min="2371" max="2560" width="8.7109375" style="823"/>
    <col min="2561" max="2561" width="10" style="823" customWidth="1"/>
    <col min="2562" max="2562" width="4.42578125" style="823" customWidth="1"/>
    <col min="2563" max="2563" width="8.7109375" style="823"/>
    <col min="2564" max="2564" width="3.85546875" style="823" customWidth="1"/>
    <col min="2565" max="2565" width="8.85546875" style="823" customWidth="1"/>
    <col min="2566" max="2566" width="9.42578125" style="823" customWidth="1"/>
    <col min="2567" max="2571" width="10.7109375" style="823" customWidth="1"/>
    <col min="2572" max="2572" width="8.7109375" style="823"/>
    <col min="2573" max="2573" width="3.42578125" style="823" customWidth="1"/>
    <col min="2574" max="2576" width="7.42578125" style="823" customWidth="1"/>
    <col min="2577" max="2577" width="8.28515625" style="823" customWidth="1"/>
    <col min="2578" max="2578" width="2" style="823" customWidth="1"/>
    <col min="2579" max="2579" width="7.42578125" style="823" customWidth="1"/>
    <col min="2580" max="2580" width="2" style="823" customWidth="1"/>
    <col min="2581" max="2581" width="7.42578125" style="823" customWidth="1"/>
    <col min="2582" max="2582" width="8.7109375" style="823"/>
    <col min="2583" max="2583" width="10.42578125" style="823" customWidth="1"/>
    <col min="2584" max="2584" width="1.28515625" style="823" customWidth="1"/>
    <col min="2585" max="2589" width="8.7109375" style="823"/>
    <col min="2590" max="2590" width="1.28515625" style="823" customWidth="1"/>
    <col min="2591" max="2595" width="8.7109375" style="823"/>
    <col min="2596" max="2596" width="1.28515625" style="823" customWidth="1"/>
    <col min="2597" max="2601" width="8.7109375" style="823"/>
    <col min="2602" max="2602" width="1.28515625" style="823" customWidth="1"/>
    <col min="2603" max="2607" width="8.7109375" style="823"/>
    <col min="2608" max="2608" width="1.28515625" style="823" customWidth="1"/>
    <col min="2609" max="2613" width="8.7109375" style="823"/>
    <col min="2614" max="2614" width="1.28515625" style="823" customWidth="1"/>
    <col min="2615" max="2619" width="8.7109375" style="823"/>
    <col min="2620" max="2620" width="1.28515625" style="823" customWidth="1"/>
    <col min="2621" max="2625" width="8.7109375" style="823"/>
    <col min="2626" max="2626" width="1.28515625" style="823" customWidth="1"/>
    <col min="2627" max="2816" width="8.7109375" style="823"/>
    <col min="2817" max="2817" width="10" style="823" customWidth="1"/>
    <col min="2818" max="2818" width="4.42578125" style="823" customWidth="1"/>
    <col min="2819" max="2819" width="8.7109375" style="823"/>
    <col min="2820" max="2820" width="3.85546875" style="823" customWidth="1"/>
    <col min="2821" max="2821" width="8.85546875" style="823" customWidth="1"/>
    <col min="2822" max="2822" width="9.42578125" style="823" customWidth="1"/>
    <col min="2823" max="2827" width="10.7109375" style="823" customWidth="1"/>
    <col min="2828" max="2828" width="8.7109375" style="823"/>
    <col min="2829" max="2829" width="3.42578125" style="823" customWidth="1"/>
    <col min="2830" max="2832" width="7.42578125" style="823" customWidth="1"/>
    <col min="2833" max="2833" width="8.28515625" style="823" customWidth="1"/>
    <col min="2834" max="2834" width="2" style="823" customWidth="1"/>
    <col min="2835" max="2835" width="7.42578125" style="823" customWidth="1"/>
    <col min="2836" max="2836" width="2" style="823" customWidth="1"/>
    <col min="2837" max="2837" width="7.42578125" style="823" customWidth="1"/>
    <col min="2838" max="2838" width="8.7109375" style="823"/>
    <col min="2839" max="2839" width="10.42578125" style="823" customWidth="1"/>
    <col min="2840" max="2840" width="1.28515625" style="823" customWidth="1"/>
    <col min="2841" max="2845" width="8.7109375" style="823"/>
    <col min="2846" max="2846" width="1.28515625" style="823" customWidth="1"/>
    <col min="2847" max="2851" width="8.7109375" style="823"/>
    <col min="2852" max="2852" width="1.28515625" style="823" customWidth="1"/>
    <col min="2853" max="2857" width="8.7109375" style="823"/>
    <col min="2858" max="2858" width="1.28515625" style="823" customWidth="1"/>
    <col min="2859" max="2863" width="8.7109375" style="823"/>
    <col min="2864" max="2864" width="1.28515625" style="823" customWidth="1"/>
    <col min="2865" max="2869" width="8.7109375" style="823"/>
    <col min="2870" max="2870" width="1.28515625" style="823" customWidth="1"/>
    <col min="2871" max="2875" width="8.7109375" style="823"/>
    <col min="2876" max="2876" width="1.28515625" style="823" customWidth="1"/>
    <col min="2877" max="2881" width="8.7109375" style="823"/>
    <col min="2882" max="2882" width="1.28515625" style="823" customWidth="1"/>
    <col min="2883" max="3072" width="8.7109375" style="823"/>
    <col min="3073" max="3073" width="10" style="823" customWidth="1"/>
    <col min="3074" max="3074" width="4.42578125" style="823" customWidth="1"/>
    <col min="3075" max="3075" width="8.7109375" style="823"/>
    <col min="3076" max="3076" width="3.85546875" style="823" customWidth="1"/>
    <col min="3077" max="3077" width="8.85546875" style="823" customWidth="1"/>
    <col min="3078" max="3078" width="9.42578125" style="823" customWidth="1"/>
    <col min="3079" max="3083" width="10.7109375" style="823" customWidth="1"/>
    <col min="3084" max="3084" width="8.7109375" style="823"/>
    <col min="3085" max="3085" width="3.42578125" style="823" customWidth="1"/>
    <col min="3086" max="3088" width="7.42578125" style="823" customWidth="1"/>
    <col min="3089" max="3089" width="8.28515625" style="823" customWidth="1"/>
    <col min="3090" max="3090" width="2" style="823" customWidth="1"/>
    <col min="3091" max="3091" width="7.42578125" style="823" customWidth="1"/>
    <col min="3092" max="3092" width="2" style="823" customWidth="1"/>
    <col min="3093" max="3093" width="7.42578125" style="823" customWidth="1"/>
    <col min="3094" max="3094" width="8.7109375" style="823"/>
    <col min="3095" max="3095" width="10.42578125" style="823" customWidth="1"/>
    <col min="3096" max="3096" width="1.28515625" style="823" customWidth="1"/>
    <col min="3097" max="3101" width="8.7109375" style="823"/>
    <col min="3102" max="3102" width="1.28515625" style="823" customWidth="1"/>
    <col min="3103" max="3107" width="8.7109375" style="823"/>
    <col min="3108" max="3108" width="1.28515625" style="823" customWidth="1"/>
    <col min="3109" max="3113" width="8.7109375" style="823"/>
    <col min="3114" max="3114" width="1.28515625" style="823" customWidth="1"/>
    <col min="3115" max="3119" width="8.7109375" style="823"/>
    <col min="3120" max="3120" width="1.28515625" style="823" customWidth="1"/>
    <col min="3121" max="3125" width="8.7109375" style="823"/>
    <col min="3126" max="3126" width="1.28515625" style="823" customWidth="1"/>
    <col min="3127" max="3131" width="8.7109375" style="823"/>
    <col min="3132" max="3132" width="1.28515625" style="823" customWidth="1"/>
    <col min="3133" max="3137" width="8.7109375" style="823"/>
    <col min="3138" max="3138" width="1.28515625" style="823" customWidth="1"/>
    <col min="3139" max="3328" width="8.7109375" style="823"/>
    <col min="3329" max="3329" width="10" style="823" customWidth="1"/>
    <col min="3330" max="3330" width="4.42578125" style="823" customWidth="1"/>
    <col min="3331" max="3331" width="8.7109375" style="823"/>
    <col min="3332" max="3332" width="3.85546875" style="823" customWidth="1"/>
    <col min="3333" max="3333" width="8.85546875" style="823" customWidth="1"/>
    <col min="3334" max="3334" width="9.42578125" style="823" customWidth="1"/>
    <col min="3335" max="3339" width="10.7109375" style="823" customWidth="1"/>
    <col min="3340" max="3340" width="8.7109375" style="823"/>
    <col min="3341" max="3341" width="3.42578125" style="823" customWidth="1"/>
    <col min="3342" max="3344" width="7.42578125" style="823" customWidth="1"/>
    <col min="3345" max="3345" width="8.28515625" style="823" customWidth="1"/>
    <col min="3346" max="3346" width="2" style="823" customWidth="1"/>
    <col min="3347" max="3347" width="7.42578125" style="823" customWidth="1"/>
    <col min="3348" max="3348" width="2" style="823" customWidth="1"/>
    <col min="3349" max="3349" width="7.42578125" style="823" customWidth="1"/>
    <col min="3350" max="3350" width="8.7109375" style="823"/>
    <col min="3351" max="3351" width="10.42578125" style="823" customWidth="1"/>
    <col min="3352" max="3352" width="1.28515625" style="823" customWidth="1"/>
    <col min="3353" max="3357" width="8.7109375" style="823"/>
    <col min="3358" max="3358" width="1.28515625" style="823" customWidth="1"/>
    <col min="3359" max="3363" width="8.7109375" style="823"/>
    <col min="3364" max="3364" width="1.28515625" style="823" customWidth="1"/>
    <col min="3365" max="3369" width="8.7109375" style="823"/>
    <col min="3370" max="3370" width="1.28515625" style="823" customWidth="1"/>
    <col min="3371" max="3375" width="8.7109375" style="823"/>
    <col min="3376" max="3376" width="1.28515625" style="823" customWidth="1"/>
    <col min="3377" max="3381" width="8.7109375" style="823"/>
    <col min="3382" max="3382" width="1.28515625" style="823" customWidth="1"/>
    <col min="3383" max="3387" width="8.7109375" style="823"/>
    <col min="3388" max="3388" width="1.28515625" style="823" customWidth="1"/>
    <col min="3389" max="3393" width="8.7109375" style="823"/>
    <col min="3394" max="3394" width="1.28515625" style="823" customWidth="1"/>
    <col min="3395" max="3584" width="8.7109375" style="823"/>
    <col min="3585" max="3585" width="10" style="823" customWidth="1"/>
    <col min="3586" max="3586" width="4.42578125" style="823" customWidth="1"/>
    <col min="3587" max="3587" width="8.7109375" style="823"/>
    <col min="3588" max="3588" width="3.85546875" style="823" customWidth="1"/>
    <col min="3589" max="3589" width="8.85546875" style="823" customWidth="1"/>
    <col min="3590" max="3590" width="9.42578125" style="823" customWidth="1"/>
    <col min="3591" max="3595" width="10.7109375" style="823" customWidth="1"/>
    <col min="3596" max="3596" width="8.7109375" style="823"/>
    <col min="3597" max="3597" width="3.42578125" style="823" customWidth="1"/>
    <col min="3598" max="3600" width="7.42578125" style="823" customWidth="1"/>
    <col min="3601" max="3601" width="8.28515625" style="823" customWidth="1"/>
    <col min="3602" max="3602" width="2" style="823" customWidth="1"/>
    <col min="3603" max="3603" width="7.42578125" style="823" customWidth="1"/>
    <col min="3604" max="3604" width="2" style="823" customWidth="1"/>
    <col min="3605" max="3605" width="7.42578125" style="823" customWidth="1"/>
    <col min="3606" max="3606" width="8.7109375" style="823"/>
    <col min="3607" max="3607" width="10.42578125" style="823" customWidth="1"/>
    <col min="3608" max="3608" width="1.28515625" style="823" customWidth="1"/>
    <col min="3609" max="3613" width="8.7109375" style="823"/>
    <col min="3614" max="3614" width="1.28515625" style="823" customWidth="1"/>
    <col min="3615" max="3619" width="8.7109375" style="823"/>
    <col min="3620" max="3620" width="1.28515625" style="823" customWidth="1"/>
    <col min="3621" max="3625" width="8.7109375" style="823"/>
    <col min="3626" max="3626" width="1.28515625" style="823" customWidth="1"/>
    <col min="3627" max="3631" width="8.7109375" style="823"/>
    <col min="3632" max="3632" width="1.28515625" style="823" customWidth="1"/>
    <col min="3633" max="3637" width="8.7109375" style="823"/>
    <col min="3638" max="3638" width="1.28515625" style="823" customWidth="1"/>
    <col min="3639" max="3643" width="8.7109375" style="823"/>
    <col min="3644" max="3644" width="1.28515625" style="823" customWidth="1"/>
    <col min="3645" max="3649" width="8.7109375" style="823"/>
    <col min="3650" max="3650" width="1.28515625" style="823" customWidth="1"/>
    <col min="3651" max="3840" width="8.7109375" style="823"/>
    <col min="3841" max="3841" width="10" style="823" customWidth="1"/>
    <col min="3842" max="3842" width="4.42578125" style="823" customWidth="1"/>
    <col min="3843" max="3843" width="8.7109375" style="823"/>
    <col min="3844" max="3844" width="3.85546875" style="823" customWidth="1"/>
    <col min="3845" max="3845" width="8.85546875" style="823" customWidth="1"/>
    <col min="3846" max="3846" width="9.42578125" style="823" customWidth="1"/>
    <col min="3847" max="3851" width="10.7109375" style="823" customWidth="1"/>
    <col min="3852" max="3852" width="8.7109375" style="823"/>
    <col min="3853" max="3853" width="3.42578125" style="823" customWidth="1"/>
    <col min="3854" max="3856" width="7.42578125" style="823" customWidth="1"/>
    <col min="3857" max="3857" width="8.28515625" style="823" customWidth="1"/>
    <col min="3858" max="3858" width="2" style="823" customWidth="1"/>
    <col min="3859" max="3859" width="7.42578125" style="823" customWidth="1"/>
    <col min="3860" max="3860" width="2" style="823" customWidth="1"/>
    <col min="3861" max="3861" width="7.42578125" style="823" customWidth="1"/>
    <col min="3862" max="3862" width="8.7109375" style="823"/>
    <col min="3863" max="3863" width="10.42578125" style="823" customWidth="1"/>
    <col min="3864" max="3864" width="1.28515625" style="823" customWidth="1"/>
    <col min="3865" max="3869" width="8.7109375" style="823"/>
    <col min="3870" max="3870" width="1.28515625" style="823" customWidth="1"/>
    <col min="3871" max="3875" width="8.7109375" style="823"/>
    <col min="3876" max="3876" width="1.28515625" style="823" customWidth="1"/>
    <col min="3877" max="3881" width="8.7109375" style="823"/>
    <col min="3882" max="3882" width="1.28515625" style="823" customWidth="1"/>
    <col min="3883" max="3887" width="8.7109375" style="823"/>
    <col min="3888" max="3888" width="1.28515625" style="823" customWidth="1"/>
    <col min="3889" max="3893" width="8.7109375" style="823"/>
    <col min="3894" max="3894" width="1.28515625" style="823" customWidth="1"/>
    <col min="3895" max="3899" width="8.7109375" style="823"/>
    <col min="3900" max="3900" width="1.28515625" style="823" customWidth="1"/>
    <col min="3901" max="3905" width="8.7109375" style="823"/>
    <col min="3906" max="3906" width="1.28515625" style="823" customWidth="1"/>
    <col min="3907" max="4096" width="8.7109375" style="823"/>
    <col min="4097" max="4097" width="10" style="823" customWidth="1"/>
    <col min="4098" max="4098" width="4.42578125" style="823" customWidth="1"/>
    <col min="4099" max="4099" width="8.7109375" style="823"/>
    <col min="4100" max="4100" width="3.85546875" style="823" customWidth="1"/>
    <col min="4101" max="4101" width="8.85546875" style="823" customWidth="1"/>
    <col min="4102" max="4102" width="9.42578125" style="823" customWidth="1"/>
    <col min="4103" max="4107" width="10.7109375" style="823" customWidth="1"/>
    <col min="4108" max="4108" width="8.7109375" style="823"/>
    <col min="4109" max="4109" width="3.42578125" style="823" customWidth="1"/>
    <col min="4110" max="4112" width="7.42578125" style="823" customWidth="1"/>
    <col min="4113" max="4113" width="8.28515625" style="823" customWidth="1"/>
    <col min="4114" max="4114" width="2" style="823" customWidth="1"/>
    <col min="4115" max="4115" width="7.42578125" style="823" customWidth="1"/>
    <col min="4116" max="4116" width="2" style="823" customWidth="1"/>
    <col min="4117" max="4117" width="7.42578125" style="823" customWidth="1"/>
    <col min="4118" max="4118" width="8.7109375" style="823"/>
    <col min="4119" max="4119" width="10.42578125" style="823" customWidth="1"/>
    <col min="4120" max="4120" width="1.28515625" style="823" customWidth="1"/>
    <col min="4121" max="4125" width="8.7109375" style="823"/>
    <col min="4126" max="4126" width="1.28515625" style="823" customWidth="1"/>
    <col min="4127" max="4131" width="8.7109375" style="823"/>
    <col min="4132" max="4132" width="1.28515625" style="823" customWidth="1"/>
    <col min="4133" max="4137" width="8.7109375" style="823"/>
    <col min="4138" max="4138" width="1.28515625" style="823" customWidth="1"/>
    <col min="4139" max="4143" width="8.7109375" style="823"/>
    <col min="4144" max="4144" width="1.28515625" style="823" customWidth="1"/>
    <col min="4145" max="4149" width="8.7109375" style="823"/>
    <col min="4150" max="4150" width="1.28515625" style="823" customWidth="1"/>
    <col min="4151" max="4155" width="8.7109375" style="823"/>
    <col min="4156" max="4156" width="1.28515625" style="823" customWidth="1"/>
    <col min="4157" max="4161" width="8.7109375" style="823"/>
    <col min="4162" max="4162" width="1.28515625" style="823" customWidth="1"/>
    <col min="4163" max="4352" width="8.7109375" style="823"/>
    <col min="4353" max="4353" width="10" style="823" customWidth="1"/>
    <col min="4354" max="4354" width="4.42578125" style="823" customWidth="1"/>
    <col min="4355" max="4355" width="8.7109375" style="823"/>
    <col min="4356" max="4356" width="3.85546875" style="823" customWidth="1"/>
    <col min="4357" max="4357" width="8.85546875" style="823" customWidth="1"/>
    <col min="4358" max="4358" width="9.42578125" style="823" customWidth="1"/>
    <col min="4359" max="4363" width="10.7109375" style="823" customWidth="1"/>
    <col min="4364" max="4364" width="8.7109375" style="823"/>
    <col min="4365" max="4365" width="3.42578125" style="823" customWidth="1"/>
    <col min="4366" max="4368" width="7.42578125" style="823" customWidth="1"/>
    <col min="4369" max="4369" width="8.28515625" style="823" customWidth="1"/>
    <col min="4370" max="4370" width="2" style="823" customWidth="1"/>
    <col min="4371" max="4371" width="7.42578125" style="823" customWidth="1"/>
    <col min="4372" max="4372" width="2" style="823" customWidth="1"/>
    <col min="4373" max="4373" width="7.42578125" style="823" customWidth="1"/>
    <col min="4374" max="4374" width="8.7109375" style="823"/>
    <col min="4375" max="4375" width="10.42578125" style="823" customWidth="1"/>
    <col min="4376" max="4376" width="1.28515625" style="823" customWidth="1"/>
    <col min="4377" max="4381" width="8.7109375" style="823"/>
    <col min="4382" max="4382" width="1.28515625" style="823" customWidth="1"/>
    <col min="4383" max="4387" width="8.7109375" style="823"/>
    <col min="4388" max="4388" width="1.28515625" style="823" customWidth="1"/>
    <col min="4389" max="4393" width="8.7109375" style="823"/>
    <col min="4394" max="4394" width="1.28515625" style="823" customWidth="1"/>
    <col min="4395" max="4399" width="8.7109375" style="823"/>
    <col min="4400" max="4400" width="1.28515625" style="823" customWidth="1"/>
    <col min="4401" max="4405" width="8.7109375" style="823"/>
    <col min="4406" max="4406" width="1.28515625" style="823" customWidth="1"/>
    <col min="4407" max="4411" width="8.7109375" style="823"/>
    <col min="4412" max="4412" width="1.28515625" style="823" customWidth="1"/>
    <col min="4413" max="4417" width="8.7109375" style="823"/>
    <col min="4418" max="4418" width="1.28515625" style="823" customWidth="1"/>
    <col min="4419" max="4608" width="8.7109375" style="823"/>
    <col min="4609" max="4609" width="10" style="823" customWidth="1"/>
    <col min="4610" max="4610" width="4.42578125" style="823" customWidth="1"/>
    <col min="4611" max="4611" width="8.7109375" style="823"/>
    <col min="4612" max="4612" width="3.85546875" style="823" customWidth="1"/>
    <col min="4613" max="4613" width="8.85546875" style="823" customWidth="1"/>
    <col min="4614" max="4614" width="9.42578125" style="823" customWidth="1"/>
    <col min="4615" max="4619" width="10.7109375" style="823" customWidth="1"/>
    <col min="4620" max="4620" width="8.7109375" style="823"/>
    <col min="4621" max="4621" width="3.42578125" style="823" customWidth="1"/>
    <col min="4622" max="4624" width="7.42578125" style="823" customWidth="1"/>
    <col min="4625" max="4625" width="8.28515625" style="823" customWidth="1"/>
    <col min="4626" max="4626" width="2" style="823" customWidth="1"/>
    <col min="4627" max="4627" width="7.42578125" style="823" customWidth="1"/>
    <col min="4628" max="4628" width="2" style="823" customWidth="1"/>
    <col min="4629" max="4629" width="7.42578125" style="823" customWidth="1"/>
    <col min="4630" max="4630" width="8.7109375" style="823"/>
    <col min="4631" max="4631" width="10.42578125" style="823" customWidth="1"/>
    <col min="4632" max="4632" width="1.28515625" style="823" customWidth="1"/>
    <col min="4633" max="4637" width="8.7109375" style="823"/>
    <col min="4638" max="4638" width="1.28515625" style="823" customWidth="1"/>
    <col min="4639" max="4643" width="8.7109375" style="823"/>
    <col min="4644" max="4644" width="1.28515625" style="823" customWidth="1"/>
    <col min="4645" max="4649" width="8.7109375" style="823"/>
    <col min="4650" max="4650" width="1.28515625" style="823" customWidth="1"/>
    <col min="4651" max="4655" width="8.7109375" style="823"/>
    <col min="4656" max="4656" width="1.28515625" style="823" customWidth="1"/>
    <col min="4657" max="4661" width="8.7109375" style="823"/>
    <col min="4662" max="4662" width="1.28515625" style="823" customWidth="1"/>
    <col min="4663" max="4667" width="8.7109375" style="823"/>
    <col min="4668" max="4668" width="1.28515625" style="823" customWidth="1"/>
    <col min="4669" max="4673" width="8.7109375" style="823"/>
    <col min="4674" max="4674" width="1.28515625" style="823" customWidth="1"/>
    <col min="4675" max="4864" width="8.7109375" style="823"/>
    <col min="4865" max="4865" width="10" style="823" customWidth="1"/>
    <col min="4866" max="4866" width="4.42578125" style="823" customWidth="1"/>
    <col min="4867" max="4867" width="8.7109375" style="823"/>
    <col min="4868" max="4868" width="3.85546875" style="823" customWidth="1"/>
    <col min="4869" max="4869" width="8.85546875" style="823" customWidth="1"/>
    <col min="4870" max="4870" width="9.42578125" style="823" customWidth="1"/>
    <col min="4871" max="4875" width="10.7109375" style="823" customWidth="1"/>
    <col min="4876" max="4876" width="8.7109375" style="823"/>
    <col min="4877" max="4877" width="3.42578125" style="823" customWidth="1"/>
    <col min="4878" max="4880" width="7.42578125" style="823" customWidth="1"/>
    <col min="4881" max="4881" width="8.28515625" style="823" customWidth="1"/>
    <col min="4882" max="4882" width="2" style="823" customWidth="1"/>
    <col min="4883" max="4883" width="7.42578125" style="823" customWidth="1"/>
    <col min="4884" max="4884" width="2" style="823" customWidth="1"/>
    <col min="4885" max="4885" width="7.42578125" style="823" customWidth="1"/>
    <col min="4886" max="4886" width="8.7109375" style="823"/>
    <col min="4887" max="4887" width="10.42578125" style="823" customWidth="1"/>
    <col min="4888" max="4888" width="1.28515625" style="823" customWidth="1"/>
    <col min="4889" max="4893" width="8.7109375" style="823"/>
    <col min="4894" max="4894" width="1.28515625" style="823" customWidth="1"/>
    <col min="4895" max="4899" width="8.7109375" style="823"/>
    <col min="4900" max="4900" width="1.28515625" style="823" customWidth="1"/>
    <col min="4901" max="4905" width="8.7109375" style="823"/>
    <col min="4906" max="4906" width="1.28515625" style="823" customWidth="1"/>
    <col min="4907" max="4911" width="8.7109375" style="823"/>
    <col min="4912" max="4912" width="1.28515625" style="823" customWidth="1"/>
    <col min="4913" max="4917" width="8.7109375" style="823"/>
    <col min="4918" max="4918" width="1.28515625" style="823" customWidth="1"/>
    <col min="4919" max="4923" width="8.7109375" style="823"/>
    <col min="4924" max="4924" width="1.28515625" style="823" customWidth="1"/>
    <col min="4925" max="4929" width="8.7109375" style="823"/>
    <col min="4930" max="4930" width="1.28515625" style="823" customWidth="1"/>
    <col min="4931" max="5120" width="8.7109375" style="823"/>
    <col min="5121" max="5121" width="10" style="823" customWidth="1"/>
    <col min="5122" max="5122" width="4.42578125" style="823" customWidth="1"/>
    <col min="5123" max="5123" width="8.7109375" style="823"/>
    <col min="5124" max="5124" width="3.85546875" style="823" customWidth="1"/>
    <col min="5125" max="5125" width="8.85546875" style="823" customWidth="1"/>
    <col min="5126" max="5126" width="9.42578125" style="823" customWidth="1"/>
    <col min="5127" max="5131" width="10.7109375" style="823" customWidth="1"/>
    <col min="5132" max="5132" width="8.7109375" style="823"/>
    <col min="5133" max="5133" width="3.42578125" style="823" customWidth="1"/>
    <col min="5134" max="5136" width="7.42578125" style="823" customWidth="1"/>
    <col min="5137" max="5137" width="8.28515625" style="823" customWidth="1"/>
    <col min="5138" max="5138" width="2" style="823" customWidth="1"/>
    <col min="5139" max="5139" width="7.42578125" style="823" customWidth="1"/>
    <col min="5140" max="5140" width="2" style="823" customWidth="1"/>
    <col min="5141" max="5141" width="7.42578125" style="823" customWidth="1"/>
    <col min="5142" max="5142" width="8.7109375" style="823"/>
    <col min="5143" max="5143" width="10.42578125" style="823" customWidth="1"/>
    <col min="5144" max="5144" width="1.28515625" style="823" customWidth="1"/>
    <col min="5145" max="5149" width="8.7109375" style="823"/>
    <col min="5150" max="5150" width="1.28515625" style="823" customWidth="1"/>
    <col min="5151" max="5155" width="8.7109375" style="823"/>
    <col min="5156" max="5156" width="1.28515625" style="823" customWidth="1"/>
    <col min="5157" max="5161" width="8.7109375" style="823"/>
    <col min="5162" max="5162" width="1.28515625" style="823" customWidth="1"/>
    <col min="5163" max="5167" width="8.7109375" style="823"/>
    <col min="5168" max="5168" width="1.28515625" style="823" customWidth="1"/>
    <col min="5169" max="5173" width="8.7109375" style="823"/>
    <col min="5174" max="5174" width="1.28515625" style="823" customWidth="1"/>
    <col min="5175" max="5179" width="8.7109375" style="823"/>
    <col min="5180" max="5180" width="1.28515625" style="823" customWidth="1"/>
    <col min="5181" max="5185" width="8.7109375" style="823"/>
    <col min="5186" max="5186" width="1.28515625" style="823" customWidth="1"/>
    <col min="5187" max="5376" width="8.7109375" style="823"/>
    <col min="5377" max="5377" width="10" style="823" customWidth="1"/>
    <col min="5378" max="5378" width="4.42578125" style="823" customWidth="1"/>
    <col min="5379" max="5379" width="8.7109375" style="823"/>
    <col min="5380" max="5380" width="3.85546875" style="823" customWidth="1"/>
    <col min="5381" max="5381" width="8.85546875" style="823" customWidth="1"/>
    <col min="5382" max="5382" width="9.42578125" style="823" customWidth="1"/>
    <col min="5383" max="5387" width="10.7109375" style="823" customWidth="1"/>
    <col min="5388" max="5388" width="8.7109375" style="823"/>
    <col min="5389" max="5389" width="3.42578125" style="823" customWidth="1"/>
    <col min="5390" max="5392" width="7.42578125" style="823" customWidth="1"/>
    <col min="5393" max="5393" width="8.28515625" style="823" customWidth="1"/>
    <col min="5394" max="5394" width="2" style="823" customWidth="1"/>
    <col min="5395" max="5395" width="7.42578125" style="823" customWidth="1"/>
    <col min="5396" max="5396" width="2" style="823" customWidth="1"/>
    <col min="5397" max="5397" width="7.42578125" style="823" customWidth="1"/>
    <col min="5398" max="5398" width="8.7109375" style="823"/>
    <col min="5399" max="5399" width="10.42578125" style="823" customWidth="1"/>
    <col min="5400" max="5400" width="1.28515625" style="823" customWidth="1"/>
    <col min="5401" max="5405" width="8.7109375" style="823"/>
    <col min="5406" max="5406" width="1.28515625" style="823" customWidth="1"/>
    <col min="5407" max="5411" width="8.7109375" style="823"/>
    <col min="5412" max="5412" width="1.28515625" style="823" customWidth="1"/>
    <col min="5413" max="5417" width="8.7109375" style="823"/>
    <col min="5418" max="5418" width="1.28515625" style="823" customWidth="1"/>
    <col min="5419" max="5423" width="8.7109375" style="823"/>
    <col min="5424" max="5424" width="1.28515625" style="823" customWidth="1"/>
    <col min="5425" max="5429" width="8.7109375" style="823"/>
    <col min="5430" max="5430" width="1.28515625" style="823" customWidth="1"/>
    <col min="5431" max="5435" width="8.7109375" style="823"/>
    <col min="5436" max="5436" width="1.28515625" style="823" customWidth="1"/>
    <col min="5437" max="5441" width="8.7109375" style="823"/>
    <col min="5442" max="5442" width="1.28515625" style="823" customWidth="1"/>
    <col min="5443" max="5632" width="8.7109375" style="823"/>
    <col min="5633" max="5633" width="10" style="823" customWidth="1"/>
    <col min="5634" max="5634" width="4.42578125" style="823" customWidth="1"/>
    <col min="5635" max="5635" width="8.7109375" style="823"/>
    <col min="5636" max="5636" width="3.85546875" style="823" customWidth="1"/>
    <col min="5637" max="5637" width="8.85546875" style="823" customWidth="1"/>
    <col min="5638" max="5638" width="9.42578125" style="823" customWidth="1"/>
    <col min="5639" max="5643" width="10.7109375" style="823" customWidth="1"/>
    <col min="5644" max="5644" width="8.7109375" style="823"/>
    <col min="5645" max="5645" width="3.42578125" style="823" customWidth="1"/>
    <col min="5646" max="5648" width="7.42578125" style="823" customWidth="1"/>
    <col min="5649" max="5649" width="8.28515625" style="823" customWidth="1"/>
    <col min="5650" max="5650" width="2" style="823" customWidth="1"/>
    <col min="5651" max="5651" width="7.42578125" style="823" customWidth="1"/>
    <col min="5652" max="5652" width="2" style="823" customWidth="1"/>
    <col min="5653" max="5653" width="7.42578125" style="823" customWidth="1"/>
    <col min="5654" max="5654" width="8.7109375" style="823"/>
    <col min="5655" max="5655" width="10.42578125" style="823" customWidth="1"/>
    <col min="5656" max="5656" width="1.28515625" style="823" customWidth="1"/>
    <col min="5657" max="5661" width="8.7109375" style="823"/>
    <col min="5662" max="5662" width="1.28515625" style="823" customWidth="1"/>
    <col min="5663" max="5667" width="8.7109375" style="823"/>
    <col min="5668" max="5668" width="1.28515625" style="823" customWidth="1"/>
    <col min="5669" max="5673" width="8.7109375" style="823"/>
    <col min="5674" max="5674" width="1.28515625" style="823" customWidth="1"/>
    <col min="5675" max="5679" width="8.7109375" style="823"/>
    <col min="5680" max="5680" width="1.28515625" style="823" customWidth="1"/>
    <col min="5681" max="5685" width="8.7109375" style="823"/>
    <col min="5686" max="5686" width="1.28515625" style="823" customWidth="1"/>
    <col min="5687" max="5691" width="8.7109375" style="823"/>
    <col min="5692" max="5692" width="1.28515625" style="823" customWidth="1"/>
    <col min="5693" max="5697" width="8.7109375" style="823"/>
    <col min="5698" max="5698" width="1.28515625" style="823" customWidth="1"/>
    <col min="5699" max="5888" width="8.7109375" style="823"/>
    <col min="5889" max="5889" width="10" style="823" customWidth="1"/>
    <col min="5890" max="5890" width="4.42578125" style="823" customWidth="1"/>
    <col min="5891" max="5891" width="8.7109375" style="823"/>
    <col min="5892" max="5892" width="3.85546875" style="823" customWidth="1"/>
    <col min="5893" max="5893" width="8.85546875" style="823" customWidth="1"/>
    <col min="5894" max="5894" width="9.42578125" style="823" customWidth="1"/>
    <col min="5895" max="5899" width="10.7109375" style="823" customWidth="1"/>
    <col min="5900" max="5900" width="8.7109375" style="823"/>
    <col min="5901" max="5901" width="3.42578125" style="823" customWidth="1"/>
    <col min="5902" max="5904" width="7.42578125" style="823" customWidth="1"/>
    <col min="5905" max="5905" width="8.28515625" style="823" customWidth="1"/>
    <col min="5906" max="5906" width="2" style="823" customWidth="1"/>
    <col min="5907" max="5907" width="7.42578125" style="823" customWidth="1"/>
    <col min="5908" max="5908" width="2" style="823" customWidth="1"/>
    <col min="5909" max="5909" width="7.42578125" style="823" customWidth="1"/>
    <col min="5910" max="5910" width="8.7109375" style="823"/>
    <col min="5911" max="5911" width="10.42578125" style="823" customWidth="1"/>
    <col min="5912" max="5912" width="1.28515625" style="823" customWidth="1"/>
    <col min="5913" max="5917" width="8.7109375" style="823"/>
    <col min="5918" max="5918" width="1.28515625" style="823" customWidth="1"/>
    <col min="5919" max="5923" width="8.7109375" style="823"/>
    <col min="5924" max="5924" width="1.28515625" style="823" customWidth="1"/>
    <col min="5925" max="5929" width="8.7109375" style="823"/>
    <col min="5930" max="5930" width="1.28515625" style="823" customWidth="1"/>
    <col min="5931" max="5935" width="8.7109375" style="823"/>
    <col min="5936" max="5936" width="1.28515625" style="823" customWidth="1"/>
    <col min="5937" max="5941" width="8.7109375" style="823"/>
    <col min="5942" max="5942" width="1.28515625" style="823" customWidth="1"/>
    <col min="5943" max="5947" width="8.7109375" style="823"/>
    <col min="5948" max="5948" width="1.28515625" style="823" customWidth="1"/>
    <col min="5949" max="5953" width="8.7109375" style="823"/>
    <col min="5954" max="5954" width="1.28515625" style="823" customWidth="1"/>
    <col min="5955" max="6144" width="8.7109375" style="823"/>
    <col min="6145" max="6145" width="10" style="823" customWidth="1"/>
    <col min="6146" max="6146" width="4.42578125" style="823" customWidth="1"/>
    <col min="6147" max="6147" width="8.7109375" style="823"/>
    <col min="6148" max="6148" width="3.85546875" style="823" customWidth="1"/>
    <col min="6149" max="6149" width="8.85546875" style="823" customWidth="1"/>
    <col min="6150" max="6150" width="9.42578125" style="823" customWidth="1"/>
    <col min="6151" max="6155" width="10.7109375" style="823" customWidth="1"/>
    <col min="6156" max="6156" width="8.7109375" style="823"/>
    <col min="6157" max="6157" width="3.42578125" style="823" customWidth="1"/>
    <col min="6158" max="6160" width="7.42578125" style="823" customWidth="1"/>
    <col min="6161" max="6161" width="8.28515625" style="823" customWidth="1"/>
    <col min="6162" max="6162" width="2" style="823" customWidth="1"/>
    <col min="6163" max="6163" width="7.42578125" style="823" customWidth="1"/>
    <col min="6164" max="6164" width="2" style="823" customWidth="1"/>
    <col min="6165" max="6165" width="7.42578125" style="823" customWidth="1"/>
    <col min="6166" max="6166" width="8.7109375" style="823"/>
    <col min="6167" max="6167" width="10.42578125" style="823" customWidth="1"/>
    <col min="6168" max="6168" width="1.28515625" style="823" customWidth="1"/>
    <col min="6169" max="6173" width="8.7109375" style="823"/>
    <col min="6174" max="6174" width="1.28515625" style="823" customWidth="1"/>
    <col min="6175" max="6179" width="8.7109375" style="823"/>
    <col min="6180" max="6180" width="1.28515625" style="823" customWidth="1"/>
    <col min="6181" max="6185" width="8.7109375" style="823"/>
    <col min="6186" max="6186" width="1.28515625" style="823" customWidth="1"/>
    <col min="6187" max="6191" width="8.7109375" style="823"/>
    <col min="6192" max="6192" width="1.28515625" style="823" customWidth="1"/>
    <col min="6193" max="6197" width="8.7109375" style="823"/>
    <col min="6198" max="6198" width="1.28515625" style="823" customWidth="1"/>
    <col min="6199" max="6203" width="8.7109375" style="823"/>
    <col min="6204" max="6204" width="1.28515625" style="823" customWidth="1"/>
    <col min="6205" max="6209" width="8.7109375" style="823"/>
    <col min="6210" max="6210" width="1.28515625" style="823" customWidth="1"/>
    <col min="6211" max="6400" width="8.7109375" style="823"/>
    <col min="6401" max="6401" width="10" style="823" customWidth="1"/>
    <col min="6402" max="6402" width="4.42578125" style="823" customWidth="1"/>
    <col min="6403" max="6403" width="8.7109375" style="823"/>
    <col min="6404" max="6404" width="3.85546875" style="823" customWidth="1"/>
    <col min="6405" max="6405" width="8.85546875" style="823" customWidth="1"/>
    <col min="6406" max="6406" width="9.42578125" style="823" customWidth="1"/>
    <col min="6407" max="6411" width="10.7109375" style="823" customWidth="1"/>
    <col min="6412" max="6412" width="8.7109375" style="823"/>
    <col min="6413" max="6413" width="3.42578125" style="823" customWidth="1"/>
    <col min="6414" max="6416" width="7.42578125" style="823" customWidth="1"/>
    <col min="6417" max="6417" width="8.28515625" style="823" customWidth="1"/>
    <col min="6418" max="6418" width="2" style="823" customWidth="1"/>
    <col min="6419" max="6419" width="7.42578125" style="823" customWidth="1"/>
    <col min="6420" max="6420" width="2" style="823" customWidth="1"/>
    <col min="6421" max="6421" width="7.42578125" style="823" customWidth="1"/>
    <col min="6422" max="6422" width="8.7109375" style="823"/>
    <col min="6423" max="6423" width="10.42578125" style="823" customWidth="1"/>
    <col min="6424" max="6424" width="1.28515625" style="823" customWidth="1"/>
    <col min="6425" max="6429" width="8.7109375" style="823"/>
    <col min="6430" max="6430" width="1.28515625" style="823" customWidth="1"/>
    <col min="6431" max="6435" width="8.7109375" style="823"/>
    <col min="6436" max="6436" width="1.28515625" style="823" customWidth="1"/>
    <col min="6437" max="6441" width="8.7109375" style="823"/>
    <col min="6442" max="6442" width="1.28515625" style="823" customWidth="1"/>
    <col min="6443" max="6447" width="8.7109375" style="823"/>
    <col min="6448" max="6448" width="1.28515625" style="823" customWidth="1"/>
    <col min="6449" max="6453" width="8.7109375" style="823"/>
    <col min="6454" max="6454" width="1.28515625" style="823" customWidth="1"/>
    <col min="6455" max="6459" width="8.7109375" style="823"/>
    <col min="6460" max="6460" width="1.28515625" style="823" customWidth="1"/>
    <col min="6461" max="6465" width="8.7109375" style="823"/>
    <col min="6466" max="6466" width="1.28515625" style="823" customWidth="1"/>
    <col min="6467" max="6656" width="8.7109375" style="823"/>
    <col min="6657" max="6657" width="10" style="823" customWidth="1"/>
    <col min="6658" max="6658" width="4.42578125" style="823" customWidth="1"/>
    <col min="6659" max="6659" width="8.7109375" style="823"/>
    <col min="6660" max="6660" width="3.85546875" style="823" customWidth="1"/>
    <col min="6661" max="6661" width="8.85546875" style="823" customWidth="1"/>
    <col min="6662" max="6662" width="9.42578125" style="823" customWidth="1"/>
    <col min="6663" max="6667" width="10.7109375" style="823" customWidth="1"/>
    <col min="6668" max="6668" width="8.7109375" style="823"/>
    <col min="6669" max="6669" width="3.42578125" style="823" customWidth="1"/>
    <col min="6670" max="6672" width="7.42578125" style="823" customWidth="1"/>
    <col min="6673" max="6673" width="8.28515625" style="823" customWidth="1"/>
    <col min="6674" max="6674" width="2" style="823" customWidth="1"/>
    <col min="6675" max="6675" width="7.42578125" style="823" customWidth="1"/>
    <col min="6676" max="6676" width="2" style="823" customWidth="1"/>
    <col min="6677" max="6677" width="7.42578125" style="823" customWidth="1"/>
    <col min="6678" max="6678" width="8.7109375" style="823"/>
    <col min="6679" max="6679" width="10.42578125" style="823" customWidth="1"/>
    <col min="6680" max="6680" width="1.28515625" style="823" customWidth="1"/>
    <col min="6681" max="6685" width="8.7109375" style="823"/>
    <col min="6686" max="6686" width="1.28515625" style="823" customWidth="1"/>
    <col min="6687" max="6691" width="8.7109375" style="823"/>
    <col min="6692" max="6692" width="1.28515625" style="823" customWidth="1"/>
    <col min="6693" max="6697" width="8.7109375" style="823"/>
    <col min="6698" max="6698" width="1.28515625" style="823" customWidth="1"/>
    <col min="6699" max="6703" width="8.7109375" style="823"/>
    <col min="6704" max="6704" width="1.28515625" style="823" customWidth="1"/>
    <col min="6705" max="6709" width="8.7109375" style="823"/>
    <col min="6710" max="6710" width="1.28515625" style="823" customWidth="1"/>
    <col min="6711" max="6715" width="8.7109375" style="823"/>
    <col min="6716" max="6716" width="1.28515625" style="823" customWidth="1"/>
    <col min="6717" max="6721" width="8.7109375" style="823"/>
    <col min="6722" max="6722" width="1.28515625" style="823" customWidth="1"/>
    <col min="6723" max="6912" width="8.7109375" style="823"/>
    <col min="6913" max="6913" width="10" style="823" customWidth="1"/>
    <col min="6914" max="6914" width="4.42578125" style="823" customWidth="1"/>
    <col min="6915" max="6915" width="8.7109375" style="823"/>
    <col min="6916" max="6916" width="3.85546875" style="823" customWidth="1"/>
    <col min="6917" max="6917" width="8.85546875" style="823" customWidth="1"/>
    <col min="6918" max="6918" width="9.42578125" style="823" customWidth="1"/>
    <col min="6919" max="6923" width="10.7109375" style="823" customWidth="1"/>
    <col min="6924" max="6924" width="8.7109375" style="823"/>
    <col min="6925" max="6925" width="3.42578125" style="823" customWidth="1"/>
    <col min="6926" max="6928" width="7.42578125" style="823" customWidth="1"/>
    <col min="6929" max="6929" width="8.28515625" style="823" customWidth="1"/>
    <col min="6930" max="6930" width="2" style="823" customWidth="1"/>
    <col min="6931" max="6931" width="7.42578125" style="823" customWidth="1"/>
    <col min="6932" max="6932" width="2" style="823" customWidth="1"/>
    <col min="6933" max="6933" width="7.42578125" style="823" customWidth="1"/>
    <col min="6934" max="6934" width="8.7109375" style="823"/>
    <col min="6935" max="6935" width="10.42578125" style="823" customWidth="1"/>
    <col min="6936" max="6936" width="1.28515625" style="823" customWidth="1"/>
    <col min="6937" max="6941" width="8.7109375" style="823"/>
    <col min="6942" max="6942" width="1.28515625" style="823" customWidth="1"/>
    <col min="6943" max="6947" width="8.7109375" style="823"/>
    <col min="6948" max="6948" width="1.28515625" style="823" customWidth="1"/>
    <col min="6949" max="6953" width="8.7109375" style="823"/>
    <col min="6954" max="6954" width="1.28515625" style="823" customWidth="1"/>
    <col min="6955" max="6959" width="8.7109375" style="823"/>
    <col min="6960" max="6960" width="1.28515625" style="823" customWidth="1"/>
    <col min="6961" max="6965" width="8.7109375" style="823"/>
    <col min="6966" max="6966" width="1.28515625" style="823" customWidth="1"/>
    <col min="6967" max="6971" width="8.7109375" style="823"/>
    <col min="6972" max="6972" width="1.28515625" style="823" customWidth="1"/>
    <col min="6973" max="6977" width="8.7109375" style="823"/>
    <col min="6978" max="6978" width="1.28515625" style="823" customWidth="1"/>
    <col min="6979" max="7168" width="8.7109375" style="823"/>
    <col min="7169" max="7169" width="10" style="823" customWidth="1"/>
    <col min="7170" max="7170" width="4.42578125" style="823" customWidth="1"/>
    <col min="7171" max="7171" width="8.7109375" style="823"/>
    <col min="7172" max="7172" width="3.85546875" style="823" customWidth="1"/>
    <col min="7173" max="7173" width="8.85546875" style="823" customWidth="1"/>
    <col min="7174" max="7174" width="9.42578125" style="823" customWidth="1"/>
    <col min="7175" max="7179" width="10.7109375" style="823" customWidth="1"/>
    <col min="7180" max="7180" width="8.7109375" style="823"/>
    <col min="7181" max="7181" width="3.42578125" style="823" customWidth="1"/>
    <col min="7182" max="7184" width="7.42578125" style="823" customWidth="1"/>
    <col min="7185" max="7185" width="8.28515625" style="823" customWidth="1"/>
    <col min="7186" max="7186" width="2" style="823" customWidth="1"/>
    <col min="7187" max="7187" width="7.42578125" style="823" customWidth="1"/>
    <col min="7188" max="7188" width="2" style="823" customWidth="1"/>
    <col min="7189" max="7189" width="7.42578125" style="823" customWidth="1"/>
    <col min="7190" max="7190" width="8.7109375" style="823"/>
    <col min="7191" max="7191" width="10.42578125" style="823" customWidth="1"/>
    <col min="7192" max="7192" width="1.28515625" style="823" customWidth="1"/>
    <col min="7193" max="7197" width="8.7109375" style="823"/>
    <col min="7198" max="7198" width="1.28515625" style="823" customWidth="1"/>
    <col min="7199" max="7203" width="8.7109375" style="823"/>
    <col min="7204" max="7204" width="1.28515625" style="823" customWidth="1"/>
    <col min="7205" max="7209" width="8.7109375" style="823"/>
    <col min="7210" max="7210" width="1.28515625" style="823" customWidth="1"/>
    <col min="7211" max="7215" width="8.7109375" style="823"/>
    <col min="7216" max="7216" width="1.28515625" style="823" customWidth="1"/>
    <col min="7217" max="7221" width="8.7109375" style="823"/>
    <col min="7222" max="7222" width="1.28515625" style="823" customWidth="1"/>
    <col min="7223" max="7227" width="8.7109375" style="823"/>
    <col min="7228" max="7228" width="1.28515625" style="823" customWidth="1"/>
    <col min="7229" max="7233" width="8.7109375" style="823"/>
    <col min="7234" max="7234" width="1.28515625" style="823" customWidth="1"/>
    <col min="7235" max="7424" width="8.7109375" style="823"/>
    <col min="7425" max="7425" width="10" style="823" customWidth="1"/>
    <col min="7426" max="7426" width="4.42578125" style="823" customWidth="1"/>
    <col min="7427" max="7427" width="8.7109375" style="823"/>
    <col min="7428" max="7428" width="3.85546875" style="823" customWidth="1"/>
    <col min="7429" max="7429" width="8.85546875" style="823" customWidth="1"/>
    <col min="7430" max="7430" width="9.42578125" style="823" customWidth="1"/>
    <col min="7431" max="7435" width="10.7109375" style="823" customWidth="1"/>
    <col min="7436" max="7436" width="8.7109375" style="823"/>
    <col min="7437" max="7437" width="3.42578125" style="823" customWidth="1"/>
    <col min="7438" max="7440" width="7.42578125" style="823" customWidth="1"/>
    <col min="7441" max="7441" width="8.28515625" style="823" customWidth="1"/>
    <col min="7442" max="7442" width="2" style="823" customWidth="1"/>
    <col min="7443" max="7443" width="7.42578125" style="823" customWidth="1"/>
    <col min="7444" max="7444" width="2" style="823" customWidth="1"/>
    <col min="7445" max="7445" width="7.42578125" style="823" customWidth="1"/>
    <col min="7446" max="7446" width="8.7109375" style="823"/>
    <col min="7447" max="7447" width="10.42578125" style="823" customWidth="1"/>
    <col min="7448" max="7448" width="1.28515625" style="823" customWidth="1"/>
    <col min="7449" max="7453" width="8.7109375" style="823"/>
    <col min="7454" max="7454" width="1.28515625" style="823" customWidth="1"/>
    <col min="7455" max="7459" width="8.7109375" style="823"/>
    <col min="7460" max="7460" width="1.28515625" style="823" customWidth="1"/>
    <col min="7461" max="7465" width="8.7109375" style="823"/>
    <col min="7466" max="7466" width="1.28515625" style="823" customWidth="1"/>
    <col min="7467" max="7471" width="8.7109375" style="823"/>
    <col min="7472" max="7472" width="1.28515625" style="823" customWidth="1"/>
    <col min="7473" max="7477" width="8.7109375" style="823"/>
    <col min="7478" max="7478" width="1.28515625" style="823" customWidth="1"/>
    <col min="7479" max="7483" width="8.7109375" style="823"/>
    <col min="7484" max="7484" width="1.28515625" style="823" customWidth="1"/>
    <col min="7485" max="7489" width="8.7109375" style="823"/>
    <col min="7490" max="7490" width="1.28515625" style="823" customWidth="1"/>
    <col min="7491" max="7680" width="8.7109375" style="823"/>
    <col min="7681" max="7681" width="10" style="823" customWidth="1"/>
    <col min="7682" max="7682" width="4.42578125" style="823" customWidth="1"/>
    <col min="7683" max="7683" width="8.7109375" style="823"/>
    <col min="7684" max="7684" width="3.85546875" style="823" customWidth="1"/>
    <col min="7685" max="7685" width="8.85546875" style="823" customWidth="1"/>
    <col min="7686" max="7686" width="9.42578125" style="823" customWidth="1"/>
    <col min="7687" max="7691" width="10.7109375" style="823" customWidth="1"/>
    <col min="7692" max="7692" width="8.7109375" style="823"/>
    <col min="7693" max="7693" width="3.42578125" style="823" customWidth="1"/>
    <col min="7694" max="7696" width="7.42578125" style="823" customWidth="1"/>
    <col min="7697" max="7697" width="8.28515625" style="823" customWidth="1"/>
    <col min="7698" max="7698" width="2" style="823" customWidth="1"/>
    <col min="7699" max="7699" width="7.42578125" style="823" customWidth="1"/>
    <col min="7700" max="7700" width="2" style="823" customWidth="1"/>
    <col min="7701" max="7701" width="7.42578125" style="823" customWidth="1"/>
    <col min="7702" max="7702" width="8.7109375" style="823"/>
    <col min="7703" max="7703" width="10.42578125" style="823" customWidth="1"/>
    <col min="7704" max="7704" width="1.28515625" style="823" customWidth="1"/>
    <col min="7705" max="7709" width="8.7109375" style="823"/>
    <col min="7710" max="7710" width="1.28515625" style="823" customWidth="1"/>
    <col min="7711" max="7715" width="8.7109375" style="823"/>
    <col min="7716" max="7716" width="1.28515625" style="823" customWidth="1"/>
    <col min="7717" max="7721" width="8.7109375" style="823"/>
    <col min="7722" max="7722" width="1.28515625" style="823" customWidth="1"/>
    <col min="7723" max="7727" width="8.7109375" style="823"/>
    <col min="7728" max="7728" width="1.28515625" style="823" customWidth="1"/>
    <col min="7729" max="7733" width="8.7109375" style="823"/>
    <col min="7734" max="7734" width="1.28515625" style="823" customWidth="1"/>
    <col min="7735" max="7739" width="8.7109375" style="823"/>
    <col min="7740" max="7740" width="1.28515625" style="823" customWidth="1"/>
    <col min="7741" max="7745" width="8.7109375" style="823"/>
    <col min="7746" max="7746" width="1.28515625" style="823" customWidth="1"/>
    <col min="7747" max="7936" width="8.7109375" style="823"/>
    <col min="7937" max="7937" width="10" style="823" customWidth="1"/>
    <col min="7938" max="7938" width="4.42578125" style="823" customWidth="1"/>
    <col min="7939" max="7939" width="8.7109375" style="823"/>
    <col min="7940" max="7940" width="3.85546875" style="823" customWidth="1"/>
    <col min="7941" max="7941" width="8.85546875" style="823" customWidth="1"/>
    <col min="7942" max="7942" width="9.42578125" style="823" customWidth="1"/>
    <col min="7943" max="7947" width="10.7109375" style="823" customWidth="1"/>
    <col min="7948" max="7948" width="8.7109375" style="823"/>
    <col min="7949" max="7949" width="3.42578125" style="823" customWidth="1"/>
    <col min="7950" max="7952" width="7.42578125" style="823" customWidth="1"/>
    <col min="7953" max="7953" width="8.28515625" style="823" customWidth="1"/>
    <col min="7954" max="7954" width="2" style="823" customWidth="1"/>
    <col min="7955" max="7955" width="7.42578125" style="823" customWidth="1"/>
    <col min="7956" max="7956" width="2" style="823" customWidth="1"/>
    <col min="7957" max="7957" width="7.42578125" style="823" customWidth="1"/>
    <col min="7958" max="7958" width="8.7109375" style="823"/>
    <col min="7959" max="7959" width="10.42578125" style="823" customWidth="1"/>
    <col min="7960" max="7960" width="1.28515625" style="823" customWidth="1"/>
    <col min="7961" max="7965" width="8.7109375" style="823"/>
    <col min="7966" max="7966" width="1.28515625" style="823" customWidth="1"/>
    <col min="7967" max="7971" width="8.7109375" style="823"/>
    <col min="7972" max="7972" width="1.28515625" style="823" customWidth="1"/>
    <col min="7973" max="7977" width="8.7109375" style="823"/>
    <col min="7978" max="7978" width="1.28515625" style="823" customWidth="1"/>
    <col min="7979" max="7983" width="8.7109375" style="823"/>
    <col min="7984" max="7984" width="1.28515625" style="823" customWidth="1"/>
    <col min="7985" max="7989" width="8.7109375" style="823"/>
    <col min="7990" max="7990" width="1.28515625" style="823" customWidth="1"/>
    <col min="7991" max="7995" width="8.7109375" style="823"/>
    <col min="7996" max="7996" width="1.28515625" style="823" customWidth="1"/>
    <col min="7997" max="8001" width="8.7109375" style="823"/>
    <col min="8002" max="8002" width="1.28515625" style="823" customWidth="1"/>
    <col min="8003" max="8192" width="8.7109375" style="823"/>
    <col min="8193" max="8193" width="10" style="823" customWidth="1"/>
    <col min="8194" max="8194" width="4.42578125" style="823" customWidth="1"/>
    <col min="8195" max="8195" width="8.7109375" style="823"/>
    <col min="8196" max="8196" width="3.85546875" style="823" customWidth="1"/>
    <col min="8197" max="8197" width="8.85546875" style="823" customWidth="1"/>
    <col min="8198" max="8198" width="9.42578125" style="823" customWidth="1"/>
    <col min="8199" max="8203" width="10.7109375" style="823" customWidth="1"/>
    <col min="8204" max="8204" width="8.7109375" style="823"/>
    <col min="8205" max="8205" width="3.42578125" style="823" customWidth="1"/>
    <col min="8206" max="8208" width="7.42578125" style="823" customWidth="1"/>
    <col min="8209" max="8209" width="8.28515625" style="823" customWidth="1"/>
    <col min="8210" max="8210" width="2" style="823" customWidth="1"/>
    <col min="8211" max="8211" width="7.42578125" style="823" customWidth="1"/>
    <col min="8212" max="8212" width="2" style="823" customWidth="1"/>
    <col min="8213" max="8213" width="7.42578125" style="823" customWidth="1"/>
    <col min="8214" max="8214" width="8.7109375" style="823"/>
    <col min="8215" max="8215" width="10.42578125" style="823" customWidth="1"/>
    <col min="8216" max="8216" width="1.28515625" style="823" customWidth="1"/>
    <col min="8217" max="8221" width="8.7109375" style="823"/>
    <col min="8222" max="8222" width="1.28515625" style="823" customWidth="1"/>
    <col min="8223" max="8227" width="8.7109375" style="823"/>
    <col min="8228" max="8228" width="1.28515625" style="823" customWidth="1"/>
    <col min="8229" max="8233" width="8.7109375" style="823"/>
    <col min="8234" max="8234" width="1.28515625" style="823" customWidth="1"/>
    <col min="8235" max="8239" width="8.7109375" style="823"/>
    <col min="8240" max="8240" width="1.28515625" style="823" customWidth="1"/>
    <col min="8241" max="8245" width="8.7109375" style="823"/>
    <col min="8246" max="8246" width="1.28515625" style="823" customWidth="1"/>
    <col min="8247" max="8251" width="8.7109375" style="823"/>
    <col min="8252" max="8252" width="1.28515625" style="823" customWidth="1"/>
    <col min="8253" max="8257" width="8.7109375" style="823"/>
    <col min="8258" max="8258" width="1.28515625" style="823" customWidth="1"/>
    <col min="8259" max="8448" width="8.7109375" style="823"/>
    <col min="8449" max="8449" width="10" style="823" customWidth="1"/>
    <col min="8450" max="8450" width="4.42578125" style="823" customWidth="1"/>
    <col min="8451" max="8451" width="8.7109375" style="823"/>
    <col min="8452" max="8452" width="3.85546875" style="823" customWidth="1"/>
    <col min="8453" max="8453" width="8.85546875" style="823" customWidth="1"/>
    <col min="8454" max="8454" width="9.42578125" style="823" customWidth="1"/>
    <col min="8455" max="8459" width="10.7109375" style="823" customWidth="1"/>
    <col min="8460" max="8460" width="8.7109375" style="823"/>
    <col min="8461" max="8461" width="3.42578125" style="823" customWidth="1"/>
    <col min="8462" max="8464" width="7.42578125" style="823" customWidth="1"/>
    <col min="8465" max="8465" width="8.28515625" style="823" customWidth="1"/>
    <col min="8466" max="8466" width="2" style="823" customWidth="1"/>
    <col min="8467" max="8467" width="7.42578125" style="823" customWidth="1"/>
    <col min="8468" max="8468" width="2" style="823" customWidth="1"/>
    <col min="8469" max="8469" width="7.42578125" style="823" customWidth="1"/>
    <col min="8470" max="8470" width="8.7109375" style="823"/>
    <col min="8471" max="8471" width="10.42578125" style="823" customWidth="1"/>
    <col min="8472" max="8472" width="1.28515625" style="823" customWidth="1"/>
    <col min="8473" max="8477" width="8.7109375" style="823"/>
    <col min="8478" max="8478" width="1.28515625" style="823" customWidth="1"/>
    <col min="8479" max="8483" width="8.7109375" style="823"/>
    <col min="8484" max="8484" width="1.28515625" style="823" customWidth="1"/>
    <col min="8485" max="8489" width="8.7109375" style="823"/>
    <col min="8490" max="8490" width="1.28515625" style="823" customWidth="1"/>
    <col min="8491" max="8495" width="8.7109375" style="823"/>
    <col min="8496" max="8496" width="1.28515625" style="823" customWidth="1"/>
    <col min="8497" max="8501" width="8.7109375" style="823"/>
    <col min="8502" max="8502" width="1.28515625" style="823" customWidth="1"/>
    <col min="8503" max="8507" width="8.7109375" style="823"/>
    <col min="8508" max="8508" width="1.28515625" style="823" customWidth="1"/>
    <col min="8509" max="8513" width="8.7109375" style="823"/>
    <col min="8514" max="8514" width="1.28515625" style="823" customWidth="1"/>
    <col min="8515" max="8704" width="8.7109375" style="823"/>
    <col min="8705" max="8705" width="10" style="823" customWidth="1"/>
    <col min="8706" max="8706" width="4.42578125" style="823" customWidth="1"/>
    <col min="8707" max="8707" width="8.7109375" style="823"/>
    <col min="8708" max="8708" width="3.85546875" style="823" customWidth="1"/>
    <col min="8709" max="8709" width="8.85546875" style="823" customWidth="1"/>
    <col min="8710" max="8710" width="9.42578125" style="823" customWidth="1"/>
    <col min="8711" max="8715" width="10.7109375" style="823" customWidth="1"/>
    <col min="8716" max="8716" width="8.7109375" style="823"/>
    <col min="8717" max="8717" width="3.42578125" style="823" customWidth="1"/>
    <col min="8718" max="8720" width="7.42578125" style="823" customWidth="1"/>
    <col min="8721" max="8721" width="8.28515625" style="823" customWidth="1"/>
    <col min="8722" max="8722" width="2" style="823" customWidth="1"/>
    <col min="8723" max="8723" width="7.42578125" style="823" customWidth="1"/>
    <col min="8724" max="8724" width="2" style="823" customWidth="1"/>
    <col min="8725" max="8725" width="7.42578125" style="823" customWidth="1"/>
    <col min="8726" max="8726" width="8.7109375" style="823"/>
    <col min="8727" max="8727" width="10.42578125" style="823" customWidth="1"/>
    <col min="8728" max="8728" width="1.28515625" style="823" customWidth="1"/>
    <col min="8729" max="8733" width="8.7109375" style="823"/>
    <col min="8734" max="8734" width="1.28515625" style="823" customWidth="1"/>
    <col min="8735" max="8739" width="8.7109375" style="823"/>
    <col min="8740" max="8740" width="1.28515625" style="823" customWidth="1"/>
    <col min="8741" max="8745" width="8.7109375" style="823"/>
    <col min="8746" max="8746" width="1.28515625" style="823" customWidth="1"/>
    <col min="8747" max="8751" width="8.7109375" style="823"/>
    <col min="8752" max="8752" width="1.28515625" style="823" customWidth="1"/>
    <col min="8753" max="8757" width="8.7109375" style="823"/>
    <col min="8758" max="8758" width="1.28515625" style="823" customWidth="1"/>
    <col min="8759" max="8763" width="8.7109375" style="823"/>
    <col min="8764" max="8764" width="1.28515625" style="823" customWidth="1"/>
    <col min="8765" max="8769" width="8.7109375" style="823"/>
    <col min="8770" max="8770" width="1.28515625" style="823" customWidth="1"/>
    <col min="8771" max="8960" width="8.7109375" style="823"/>
    <col min="8961" max="8961" width="10" style="823" customWidth="1"/>
    <col min="8962" max="8962" width="4.42578125" style="823" customWidth="1"/>
    <col min="8963" max="8963" width="8.7109375" style="823"/>
    <col min="8964" max="8964" width="3.85546875" style="823" customWidth="1"/>
    <col min="8965" max="8965" width="8.85546875" style="823" customWidth="1"/>
    <col min="8966" max="8966" width="9.42578125" style="823" customWidth="1"/>
    <col min="8967" max="8971" width="10.7109375" style="823" customWidth="1"/>
    <col min="8972" max="8972" width="8.7109375" style="823"/>
    <col min="8973" max="8973" width="3.42578125" style="823" customWidth="1"/>
    <col min="8974" max="8976" width="7.42578125" style="823" customWidth="1"/>
    <col min="8977" max="8977" width="8.28515625" style="823" customWidth="1"/>
    <col min="8978" max="8978" width="2" style="823" customWidth="1"/>
    <col min="8979" max="8979" width="7.42578125" style="823" customWidth="1"/>
    <col min="8980" max="8980" width="2" style="823" customWidth="1"/>
    <col min="8981" max="8981" width="7.42578125" style="823" customWidth="1"/>
    <col min="8982" max="8982" width="8.7109375" style="823"/>
    <col min="8983" max="8983" width="10.42578125" style="823" customWidth="1"/>
    <col min="8984" max="8984" width="1.28515625" style="823" customWidth="1"/>
    <col min="8985" max="8989" width="8.7109375" style="823"/>
    <col min="8990" max="8990" width="1.28515625" style="823" customWidth="1"/>
    <col min="8991" max="8995" width="8.7109375" style="823"/>
    <col min="8996" max="8996" width="1.28515625" style="823" customWidth="1"/>
    <col min="8997" max="9001" width="8.7109375" style="823"/>
    <col min="9002" max="9002" width="1.28515625" style="823" customWidth="1"/>
    <col min="9003" max="9007" width="8.7109375" style="823"/>
    <col min="9008" max="9008" width="1.28515625" style="823" customWidth="1"/>
    <col min="9009" max="9013" width="8.7109375" style="823"/>
    <col min="9014" max="9014" width="1.28515625" style="823" customWidth="1"/>
    <col min="9015" max="9019" width="8.7109375" style="823"/>
    <col min="9020" max="9020" width="1.28515625" style="823" customWidth="1"/>
    <col min="9021" max="9025" width="8.7109375" style="823"/>
    <col min="9026" max="9026" width="1.28515625" style="823" customWidth="1"/>
    <col min="9027" max="9216" width="8.7109375" style="823"/>
    <col min="9217" max="9217" width="10" style="823" customWidth="1"/>
    <col min="9218" max="9218" width="4.42578125" style="823" customWidth="1"/>
    <col min="9219" max="9219" width="8.7109375" style="823"/>
    <col min="9220" max="9220" width="3.85546875" style="823" customWidth="1"/>
    <col min="9221" max="9221" width="8.85546875" style="823" customWidth="1"/>
    <col min="9222" max="9222" width="9.42578125" style="823" customWidth="1"/>
    <col min="9223" max="9227" width="10.7109375" style="823" customWidth="1"/>
    <col min="9228" max="9228" width="8.7109375" style="823"/>
    <col min="9229" max="9229" width="3.42578125" style="823" customWidth="1"/>
    <col min="9230" max="9232" width="7.42578125" style="823" customWidth="1"/>
    <col min="9233" max="9233" width="8.28515625" style="823" customWidth="1"/>
    <col min="9234" max="9234" width="2" style="823" customWidth="1"/>
    <col min="9235" max="9235" width="7.42578125" style="823" customWidth="1"/>
    <col min="9236" max="9236" width="2" style="823" customWidth="1"/>
    <col min="9237" max="9237" width="7.42578125" style="823" customWidth="1"/>
    <col min="9238" max="9238" width="8.7109375" style="823"/>
    <col min="9239" max="9239" width="10.42578125" style="823" customWidth="1"/>
    <col min="9240" max="9240" width="1.28515625" style="823" customWidth="1"/>
    <col min="9241" max="9245" width="8.7109375" style="823"/>
    <col min="9246" max="9246" width="1.28515625" style="823" customWidth="1"/>
    <col min="9247" max="9251" width="8.7109375" style="823"/>
    <col min="9252" max="9252" width="1.28515625" style="823" customWidth="1"/>
    <col min="9253" max="9257" width="8.7109375" style="823"/>
    <col min="9258" max="9258" width="1.28515625" style="823" customWidth="1"/>
    <col min="9259" max="9263" width="8.7109375" style="823"/>
    <col min="9264" max="9264" width="1.28515625" style="823" customWidth="1"/>
    <col min="9265" max="9269" width="8.7109375" style="823"/>
    <col min="9270" max="9270" width="1.28515625" style="823" customWidth="1"/>
    <col min="9271" max="9275" width="8.7109375" style="823"/>
    <col min="9276" max="9276" width="1.28515625" style="823" customWidth="1"/>
    <col min="9277" max="9281" width="8.7109375" style="823"/>
    <col min="9282" max="9282" width="1.28515625" style="823" customWidth="1"/>
    <col min="9283" max="9472" width="8.7109375" style="823"/>
    <col min="9473" max="9473" width="10" style="823" customWidth="1"/>
    <col min="9474" max="9474" width="4.42578125" style="823" customWidth="1"/>
    <col min="9475" max="9475" width="8.7109375" style="823"/>
    <col min="9476" max="9476" width="3.85546875" style="823" customWidth="1"/>
    <col min="9477" max="9477" width="8.85546875" style="823" customWidth="1"/>
    <col min="9478" max="9478" width="9.42578125" style="823" customWidth="1"/>
    <col min="9479" max="9483" width="10.7109375" style="823" customWidth="1"/>
    <col min="9484" max="9484" width="8.7109375" style="823"/>
    <col min="9485" max="9485" width="3.42578125" style="823" customWidth="1"/>
    <col min="9486" max="9488" width="7.42578125" style="823" customWidth="1"/>
    <col min="9489" max="9489" width="8.28515625" style="823" customWidth="1"/>
    <col min="9490" max="9490" width="2" style="823" customWidth="1"/>
    <col min="9491" max="9491" width="7.42578125" style="823" customWidth="1"/>
    <col min="9492" max="9492" width="2" style="823" customWidth="1"/>
    <col min="9493" max="9493" width="7.42578125" style="823" customWidth="1"/>
    <col min="9494" max="9494" width="8.7109375" style="823"/>
    <col min="9495" max="9495" width="10.42578125" style="823" customWidth="1"/>
    <col min="9496" max="9496" width="1.28515625" style="823" customWidth="1"/>
    <col min="9497" max="9501" width="8.7109375" style="823"/>
    <col min="9502" max="9502" width="1.28515625" style="823" customWidth="1"/>
    <col min="9503" max="9507" width="8.7109375" style="823"/>
    <col min="9508" max="9508" width="1.28515625" style="823" customWidth="1"/>
    <col min="9509" max="9513" width="8.7109375" style="823"/>
    <col min="9514" max="9514" width="1.28515625" style="823" customWidth="1"/>
    <col min="9515" max="9519" width="8.7109375" style="823"/>
    <col min="9520" max="9520" width="1.28515625" style="823" customWidth="1"/>
    <col min="9521" max="9525" width="8.7109375" style="823"/>
    <col min="9526" max="9526" width="1.28515625" style="823" customWidth="1"/>
    <col min="9527" max="9531" width="8.7109375" style="823"/>
    <col min="9532" max="9532" width="1.28515625" style="823" customWidth="1"/>
    <col min="9533" max="9537" width="8.7109375" style="823"/>
    <col min="9538" max="9538" width="1.28515625" style="823" customWidth="1"/>
    <col min="9539" max="9728" width="8.7109375" style="823"/>
    <col min="9729" max="9729" width="10" style="823" customWidth="1"/>
    <col min="9730" max="9730" width="4.42578125" style="823" customWidth="1"/>
    <col min="9731" max="9731" width="8.7109375" style="823"/>
    <col min="9732" max="9732" width="3.85546875" style="823" customWidth="1"/>
    <col min="9733" max="9733" width="8.85546875" style="823" customWidth="1"/>
    <col min="9734" max="9734" width="9.42578125" style="823" customWidth="1"/>
    <col min="9735" max="9739" width="10.7109375" style="823" customWidth="1"/>
    <col min="9740" max="9740" width="8.7109375" style="823"/>
    <col min="9741" max="9741" width="3.42578125" style="823" customWidth="1"/>
    <col min="9742" max="9744" width="7.42578125" style="823" customWidth="1"/>
    <col min="9745" max="9745" width="8.28515625" style="823" customWidth="1"/>
    <col min="9746" max="9746" width="2" style="823" customWidth="1"/>
    <col min="9747" max="9747" width="7.42578125" style="823" customWidth="1"/>
    <col min="9748" max="9748" width="2" style="823" customWidth="1"/>
    <col min="9749" max="9749" width="7.42578125" style="823" customWidth="1"/>
    <col min="9750" max="9750" width="8.7109375" style="823"/>
    <col min="9751" max="9751" width="10.42578125" style="823" customWidth="1"/>
    <col min="9752" max="9752" width="1.28515625" style="823" customWidth="1"/>
    <col min="9753" max="9757" width="8.7109375" style="823"/>
    <col min="9758" max="9758" width="1.28515625" style="823" customWidth="1"/>
    <col min="9759" max="9763" width="8.7109375" style="823"/>
    <col min="9764" max="9764" width="1.28515625" style="823" customWidth="1"/>
    <col min="9765" max="9769" width="8.7109375" style="823"/>
    <col min="9770" max="9770" width="1.28515625" style="823" customWidth="1"/>
    <col min="9771" max="9775" width="8.7109375" style="823"/>
    <col min="9776" max="9776" width="1.28515625" style="823" customWidth="1"/>
    <col min="9777" max="9781" width="8.7109375" style="823"/>
    <col min="9782" max="9782" width="1.28515625" style="823" customWidth="1"/>
    <col min="9783" max="9787" width="8.7109375" style="823"/>
    <col min="9788" max="9788" width="1.28515625" style="823" customWidth="1"/>
    <col min="9789" max="9793" width="8.7109375" style="823"/>
    <col min="9794" max="9794" width="1.28515625" style="823" customWidth="1"/>
    <col min="9795" max="9984" width="8.7109375" style="823"/>
    <col min="9985" max="9985" width="10" style="823" customWidth="1"/>
    <col min="9986" max="9986" width="4.42578125" style="823" customWidth="1"/>
    <col min="9987" max="9987" width="8.7109375" style="823"/>
    <col min="9988" max="9988" width="3.85546875" style="823" customWidth="1"/>
    <col min="9989" max="9989" width="8.85546875" style="823" customWidth="1"/>
    <col min="9990" max="9990" width="9.42578125" style="823" customWidth="1"/>
    <col min="9991" max="9995" width="10.7109375" style="823" customWidth="1"/>
    <col min="9996" max="9996" width="8.7109375" style="823"/>
    <col min="9997" max="9997" width="3.42578125" style="823" customWidth="1"/>
    <col min="9998" max="10000" width="7.42578125" style="823" customWidth="1"/>
    <col min="10001" max="10001" width="8.28515625" style="823" customWidth="1"/>
    <col min="10002" max="10002" width="2" style="823" customWidth="1"/>
    <col min="10003" max="10003" width="7.42578125" style="823" customWidth="1"/>
    <col min="10004" max="10004" width="2" style="823" customWidth="1"/>
    <col min="10005" max="10005" width="7.42578125" style="823" customWidth="1"/>
    <col min="10006" max="10006" width="8.7109375" style="823"/>
    <col min="10007" max="10007" width="10.42578125" style="823" customWidth="1"/>
    <col min="10008" max="10008" width="1.28515625" style="823" customWidth="1"/>
    <col min="10009" max="10013" width="8.7109375" style="823"/>
    <col min="10014" max="10014" width="1.28515625" style="823" customWidth="1"/>
    <col min="10015" max="10019" width="8.7109375" style="823"/>
    <col min="10020" max="10020" width="1.28515625" style="823" customWidth="1"/>
    <col min="10021" max="10025" width="8.7109375" style="823"/>
    <col min="10026" max="10026" width="1.28515625" style="823" customWidth="1"/>
    <col min="10027" max="10031" width="8.7109375" style="823"/>
    <col min="10032" max="10032" width="1.28515625" style="823" customWidth="1"/>
    <col min="10033" max="10037" width="8.7109375" style="823"/>
    <col min="10038" max="10038" width="1.28515625" style="823" customWidth="1"/>
    <col min="10039" max="10043" width="8.7109375" style="823"/>
    <col min="10044" max="10044" width="1.28515625" style="823" customWidth="1"/>
    <col min="10045" max="10049" width="8.7109375" style="823"/>
    <col min="10050" max="10050" width="1.28515625" style="823" customWidth="1"/>
    <col min="10051" max="10240" width="8.7109375" style="823"/>
    <col min="10241" max="10241" width="10" style="823" customWidth="1"/>
    <col min="10242" max="10242" width="4.42578125" style="823" customWidth="1"/>
    <col min="10243" max="10243" width="8.7109375" style="823"/>
    <col min="10244" max="10244" width="3.85546875" style="823" customWidth="1"/>
    <col min="10245" max="10245" width="8.85546875" style="823" customWidth="1"/>
    <col min="10246" max="10246" width="9.42578125" style="823" customWidth="1"/>
    <col min="10247" max="10251" width="10.7109375" style="823" customWidth="1"/>
    <col min="10252" max="10252" width="8.7109375" style="823"/>
    <col min="10253" max="10253" width="3.42578125" style="823" customWidth="1"/>
    <col min="10254" max="10256" width="7.42578125" style="823" customWidth="1"/>
    <col min="10257" max="10257" width="8.28515625" style="823" customWidth="1"/>
    <col min="10258" max="10258" width="2" style="823" customWidth="1"/>
    <col min="10259" max="10259" width="7.42578125" style="823" customWidth="1"/>
    <col min="10260" max="10260" width="2" style="823" customWidth="1"/>
    <col min="10261" max="10261" width="7.42578125" style="823" customWidth="1"/>
    <col min="10262" max="10262" width="8.7109375" style="823"/>
    <col min="10263" max="10263" width="10.42578125" style="823" customWidth="1"/>
    <col min="10264" max="10264" width="1.28515625" style="823" customWidth="1"/>
    <col min="10265" max="10269" width="8.7109375" style="823"/>
    <col min="10270" max="10270" width="1.28515625" style="823" customWidth="1"/>
    <col min="10271" max="10275" width="8.7109375" style="823"/>
    <col min="10276" max="10276" width="1.28515625" style="823" customWidth="1"/>
    <col min="10277" max="10281" width="8.7109375" style="823"/>
    <col min="10282" max="10282" width="1.28515625" style="823" customWidth="1"/>
    <col min="10283" max="10287" width="8.7109375" style="823"/>
    <col min="10288" max="10288" width="1.28515625" style="823" customWidth="1"/>
    <col min="10289" max="10293" width="8.7109375" style="823"/>
    <col min="10294" max="10294" width="1.28515625" style="823" customWidth="1"/>
    <col min="10295" max="10299" width="8.7109375" style="823"/>
    <col min="10300" max="10300" width="1.28515625" style="823" customWidth="1"/>
    <col min="10301" max="10305" width="8.7109375" style="823"/>
    <col min="10306" max="10306" width="1.28515625" style="823" customWidth="1"/>
    <col min="10307" max="10496" width="8.7109375" style="823"/>
    <col min="10497" max="10497" width="10" style="823" customWidth="1"/>
    <col min="10498" max="10498" width="4.42578125" style="823" customWidth="1"/>
    <col min="10499" max="10499" width="8.7109375" style="823"/>
    <col min="10500" max="10500" width="3.85546875" style="823" customWidth="1"/>
    <col min="10501" max="10501" width="8.85546875" style="823" customWidth="1"/>
    <col min="10502" max="10502" width="9.42578125" style="823" customWidth="1"/>
    <col min="10503" max="10507" width="10.7109375" style="823" customWidth="1"/>
    <col min="10508" max="10508" width="8.7109375" style="823"/>
    <col min="10509" max="10509" width="3.42578125" style="823" customWidth="1"/>
    <col min="10510" max="10512" width="7.42578125" style="823" customWidth="1"/>
    <col min="10513" max="10513" width="8.28515625" style="823" customWidth="1"/>
    <col min="10514" max="10514" width="2" style="823" customWidth="1"/>
    <col min="10515" max="10515" width="7.42578125" style="823" customWidth="1"/>
    <col min="10516" max="10516" width="2" style="823" customWidth="1"/>
    <col min="10517" max="10517" width="7.42578125" style="823" customWidth="1"/>
    <col min="10518" max="10518" width="8.7109375" style="823"/>
    <col min="10519" max="10519" width="10.42578125" style="823" customWidth="1"/>
    <col min="10520" max="10520" width="1.28515625" style="823" customWidth="1"/>
    <col min="10521" max="10525" width="8.7109375" style="823"/>
    <col min="10526" max="10526" width="1.28515625" style="823" customWidth="1"/>
    <col min="10527" max="10531" width="8.7109375" style="823"/>
    <col min="10532" max="10532" width="1.28515625" style="823" customWidth="1"/>
    <col min="10533" max="10537" width="8.7109375" style="823"/>
    <col min="10538" max="10538" width="1.28515625" style="823" customWidth="1"/>
    <col min="10539" max="10543" width="8.7109375" style="823"/>
    <col min="10544" max="10544" width="1.28515625" style="823" customWidth="1"/>
    <col min="10545" max="10549" width="8.7109375" style="823"/>
    <col min="10550" max="10550" width="1.28515625" style="823" customWidth="1"/>
    <col min="10551" max="10555" width="8.7109375" style="823"/>
    <col min="10556" max="10556" width="1.28515625" style="823" customWidth="1"/>
    <col min="10557" max="10561" width="8.7109375" style="823"/>
    <col min="10562" max="10562" width="1.28515625" style="823" customWidth="1"/>
    <col min="10563" max="10752" width="8.7109375" style="823"/>
    <col min="10753" max="10753" width="10" style="823" customWidth="1"/>
    <col min="10754" max="10754" width="4.42578125" style="823" customWidth="1"/>
    <col min="10755" max="10755" width="8.7109375" style="823"/>
    <col min="10756" max="10756" width="3.85546875" style="823" customWidth="1"/>
    <col min="10757" max="10757" width="8.85546875" style="823" customWidth="1"/>
    <col min="10758" max="10758" width="9.42578125" style="823" customWidth="1"/>
    <col min="10759" max="10763" width="10.7109375" style="823" customWidth="1"/>
    <col min="10764" max="10764" width="8.7109375" style="823"/>
    <col min="10765" max="10765" width="3.42578125" style="823" customWidth="1"/>
    <col min="10766" max="10768" width="7.42578125" style="823" customWidth="1"/>
    <col min="10769" max="10769" width="8.28515625" style="823" customWidth="1"/>
    <col min="10770" max="10770" width="2" style="823" customWidth="1"/>
    <col min="10771" max="10771" width="7.42578125" style="823" customWidth="1"/>
    <col min="10772" max="10772" width="2" style="823" customWidth="1"/>
    <col min="10773" max="10773" width="7.42578125" style="823" customWidth="1"/>
    <col min="10774" max="10774" width="8.7109375" style="823"/>
    <col min="10775" max="10775" width="10.42578125" style="823" customWidth="1"/>
    <col min="10776" max="10776" width="1.28515625" style="823" customWidth="1"/>
    <col min="10777" max="10781" width="8.7109375" style="823"/>
    <col min="10782" max="10782" width="1.28515625" style="823" customWidth="1"/>
    <col min="10783" max="10787" width="8.7109375" style="823"/>
    <col min="10788" max="10788" width="1.28515625" style="823" customWidth="1"/>
    <col min="10789" max="10793" width="8.7109375" style="823"/>
    <col min="10794" max="10794" width="1.28515625" style="823" customWidth="1"/>
    <col min="10795" max="10799" width="8.7109375" style="823"/>
    <col min="10800" max="10800" width="1.28515625" style="823" customWidth="1"/>
    <col min="10801" max="10805" width="8.7109375" style="823"/>
    <col min="10806" max="10806" width="1.28515625" style="823" customWidth="1"/>
    <col min="10807" max="10811" width="8.7109375" style="823"/>
    <col min="10812" max="10812" width="1.28515625" style="823" customWidth="1"/>
    <col min="10813" max="10817" width="8.7109375" style="823"/>
    <col min="10818" max="10818" width="1.28515625" style="823" customWidth="1"/>
    <col min="10819" max="11008" width="8.7109375" style="823"/>
    <col min="11009" max="11009" width="10" style="823" customWidth="1"/>
    <col min="11010" max="11010" width="4.42578125" style="823" customWidth="1"/>
    <col min="11011" max="11011" width="8.7109375" style="823"/>
    <col min="11012" max="11012" width="3.85546875" style="823" customWidth="1"/>
    <col min="11013" max="11013" width="8.85546875" style="823" customWidth="1"/>
    <col min="11014" max="11014" width="9.42578125" style="823" customWidth="1"/>
    <col min="11015" max="11019" width="10.7109375" style="823" customWidth="1"/>
    <col min="11020" max="11020" width="8.7109375" style="823"/>
    <col min="11021" max="11021" width="3.42578125" style="823" customWidth="1"/>
    <col min="11022" max="11024" width="7.42578125" style="823" customWidth="1"/>
    <col min="11025" max="11025" width="8.28515625" style="823" customWidth="1"/>
    <col min="11026" max="11026" width="2" style="823" customWidth="1"/>
    <col min="11027" max="11027" width="7.42578125" style="823" customWidth="1"/>
    <col min="11028" max="11028" width="2" style="823" customWidth="1"/>
    <col min="11029" max="11029" width="7.42578125" style="823" customWidth="1"/>
    <col min="11030" max="11030" width="8.7109375" style="823"/>
    <col min="11031" max="11031" width="10.42578125" style="823" customWidth="1"/>
    <col min="11032" max="11032" width="1.28515625" style="823" customWidth="1"/>
    <col min="11033" max="11037" width="8.7109375" style="823"/>
    <col min="11038" max="11038" width="1.28515625" style="823" customWidth="1"/>
    <col min="11039" max="11043" width="8.7109375" style="823"/>
    <col min="11044" max="11044" width="1.28515625" style="823" customWidth="1"/>
    <col min="11045" max="11049" width="8.7109375" style="823"/>
    <col min="11050" max="11050" width="1.28515625" style="823" customWidth="1"/>
    <col min="11051" max="11055" width="8.7109375" style="823"/>
    <col min="11056" max="11056" width="1.28515625" style="823" customWidth="1"/>
    <col min="11057" max="11061" width="8.7109375" style="823"/>
    <col min="11062" max="11062" width="1.28515625" style="823" customWidth="1"/>
    <col min="11063" max="11067" width="8.7109375" style="823"/>
    <col min="11068" max="11068" width="1.28515625" style="823" customWidth="1"/>
    <col min="11069" max="11073" width="8.7109375" style="823"/>
    <col min="11074" max="11074" width="1.28515625" style="823" customWidth="1"/>
    <col min="11075" max="11264" width="8.7109375" style="823"/>
    <col min="11265" max="11265" width="10" style="823" customWidth="1"/>
    <col min="11266" max="11266" width="4.42578125" style="823" customWidth="1"/>
    <col min="11267" max="11267" width="8.7109375" style="823"/>
    <col min="11268" max="11268" width="3.85546875" style="823" customWidth="1"/>
    <col min="11269" max="11269" width="8.85546875" style="823" customWidth="1"/>
    <col min="11270" max="11270" width="9.42578125" style="823" customWidth="1"/>
    <col min="11271" max="11275" width="10.7109375" style="823" customWidth="1"/>
    <col min="11276" max="11276" width="8.7109375" style="823"/>
    <col min="11277" max="11277" width="3.42578125" style="823" customWidth="1"/>
    <col min="11278" max="11280" width="7.42578125" style="823" customWidth="1"/>
    <col min="11281" max="11281" width="8.28515625" style="823" customWidth="1"/>
    <col min="11282" max="11282" width="2" style="823" customWidth="1"/>
    <col min="11283" max="11283" width="7.42578125" style="823" customWidth="1"/>
    <col min="11284" max="11284" width="2" style="823" customWidth="1"/>
    <col min="11285" max="11285" width="7.42578125" style="823" customWidth="1"/>
    <col min="11286" max="11286" width="8.7109375" style="823"/>
    <col min="11287" max="11287" width="10.42578125" style="823" customWidth="1"/>
    <col min="11288" max="11288" width="1.28515625" style="823" customWidth="1"/>
    <col min="11289" max="11293" width="8.7109375" style="823"/>
    <col min="11294" max="11294" width="1.28515625" style="823" customWidth="1"/>
    <col min="11295" max="11299" width="8.7109375" style="823"/>
    <col min="11300" max="11300" width="1.28515625" style="823" customWidth="1"/>
    <col min="11301" max="11305" width="8.7109375" style="823"/>
    <col min="11306" max="11306" width="1.28515625" style="823" customWidth="1"/>
    <col min="11307" max="11311" width="8.7109375" style="823"/>
    <col min="11312" max="11312" width="1.28515625" style="823" customWidth="1"/>
    <col min="11313" max="11317" width="8.7109375" style="823"/>
    <col min="11318" max="11318" width="1.28515625" style="823" customWidth="1"/>
    <col min="11319" max="11323" width="8.7109375" style="823"/>
    <col min="11324" max="11324" width="1.28515625" style="823" customWidth="1"/>
    <col min="11325" max="11329" width="8.7109375" style="823"/>
    <col min="11330" max="11330" width="1.28515625" style="823" customWidth="1"/>
    <col min="11331" max="11520" width="8.7109375" style="823"/>
    <col min="11521" max="11521" width="10" style="823" customWidth="1"/>
    <col min="11522" max="11522" width="4.42578125" style="823" customWidth="1"/>
    <col min="11523" max="11523" width="8.7109375" style="823"/>
    <col min="11524" max="11524" width="3.85546875" style="823" customWidth="1"/>
    <col min="11525" max="11525" width="8.85546875" style="823" customWidth="1"/>
    <col min="11526" max="11526" width="9.42578125" style="823" customWidth="1"/>
    <col min="11527" max="11531" width="10.7109375" style="823" customWidth="1"/>
    <col min="11532" max="11532" width="8.7109375" style="823"/>
    <col min="11533" max="11533" width="3.42578125" style="823" customWidth="1"/>
    <col min="11534" max="11536" width="7.42578125" style="823" customWidth="1"/>
    <col min="11537" max="11537" width="8.28515625" style="823" customWidth="1"/>
    <col min="11538" max="11538" width="2" style="823" customWidth="1"/>
    <col min="11539" max="11539" width="7.42578125" style="823" customWidth="1"/>
    <col min="11540" max="11540" width="2" style="823" customWidth="1"/>
    <col min="11541" max="11541" width="7.42578125" style="823" customWidth="1"/>
    <col min="11542" max="11542" width="8.7109375" style="823"/>
    <col min="11543" max="11543" width="10.42578125" style="823" customWidth="1"/>
    <col min="11544" max="11544" width="1.28515625" style="823" customWidth="1"/>
    <col min="11545" max="11549" width="8.7109375" style="823"/>
    <col min="11550" max="11550" width="1.28515625" style="823" customWidth="1"/>
    <col min="11551" max="11555" width="8.7109375" style="823"/>
    <col min="11556" max="11556" width="1.28515625" style="823" customWidth="1"/>
    <col min="11557" max="11561" width="8.7109375" style="823"/>
    <col min="11562" max="11562" width="1.28515625" style="823" customWidth="1"/>
    <col min="11563" max="11567" width="8.7109375" style="823"/>
    <col min="11568" max="11568" width="1.28515625" style="823" customWidth="1"/>
    <col min="11569" max="11573" width="8.7109375" style="823"/>
    <col min="11574" max="11574" width="1.28515625" style="823" customWidth="1"/>
    <col min="11575" max="11579" width="8.7109375" style="823"/>
    <col min="11580" max="11580" width="1.28515625" style="823" customWidth="1"/>
    <col min="11581" max="11585" width="8.7109375" style="823"/>
    <col min="11586" max="11586" width="1.28515625" style="823" customWidth="1"/>
    <col min="11587" max="11776" width="8.7109375" style="823"/>
    <col min="11777" max="11777" width="10" style="823" customWidth="1"/>
    <col min="11778" max="11778" width="4.42578125" style="823" customWidth="1"/>
    <col min="11779" max="11779" width="8.7109375" style="823"/>
    <col min="11780" max="11780" width="3.85546875" style="823" customWidth="1"/>
    <col min="11781" max="11781" width="8.85546875" style="823" customWidth="1"/>
    <col min="11782" max="11782" width="9.42578125" style="823" customWidth="1"/>
    <col min="11783" max="11787" width="10.7109375" style="823" customWidth="1"/>
    <col min="11788" max="11788" width="8.7109375" style="823"/>
    <col min="11789" max="11789" width="3.42578125" style="823" customWidth="1"/>
    <col min="11790" max="11792" width="7.42578125" style="823" customWidth="1"/>
    <col min="11793" max="11793" width="8.28515625" style="823" customWidth="1"/>
    <col min="11794" max="11794" width="2" style="823" customWidth="1"/>
    <col min="11795" max="11795" width="7.42578125" style="823" customWidth="1"/>
    <col min="11796" max="11796" width="2" style="823" customWidth="1"/>
    <col min="11797" max="11797" width="7.42578125" style="823" customWidth="1"/>
    <col min="11798" max="11798" width="8.7109375" style="823"/>
    <col min="11799" max="11799" width="10.42578125" style="823" customWidth="1"/>
    <col min="11800" max="11800" width="1.28515625" style="823" customWidth="1"/>
    <col min="11801" max="11805" width="8.7109375" style="823"/>
    <col min="11806" max="11806" width="1.28515625" style="823" customWidth="1"/>
    <col min="11807" max="11811" width="8.7109375" style="823"/>
    <col min="11812" max="11812" width="1.28515625" style="823" customWidth="1"/>
    <col min="11813" max="11817" width="8.7109375" style="823"/>
    <col min="11818" max="11818" width="1.28515625" style="823" customWidth="1"/>
    <col min="11819" max="11823" width="8.7109375" style="823"/>
    <col min="11824" max="11824" width="1.28515625" style="823" customWidth="1"/>
    <col min="11825" max="11829" width="8.7109375" style="823"/>
    <col min="11830" max="11830" width="1.28515625" style="823" customWidth="1"/>
    <col min="11831" max="11835" width="8.7109375" style="823"/>
    <col min="11836" max="11836" width="1.28515625" style="823" customWidth="1"/>
    <col min="11837" max="11841" width="8.7109375" style="823"/>
    <col min="11842" max="11842" width="1.28515625" style="823" customWidth="1"/>
    <col min="11843" max="12032" width="8.7109375" style="823"/>
    <col min="12033" max="12033" width="10" style="823" customWidth="1"/>
    <col min="12034" max="12034" width="4.42578125" style="823" customWidth="1"/>
    <col min="12035" max="12035" width="8.7109375" style="823"/>
    <col min="12036" max="12036" width="3.85546875" style="823" customWidth="1"/>
    <col min="12037" max="12037" width="8.85546875" style="823" customWidth="1"/>
    <col min="12038" max="12038" width="9.42578125" style="823" customWidth="1"/>
    <col min="12039" max="12043" width="10.7109375" style="823" customWidth="1"/>
    <col min="12044" max="12044" width="8.7109375" style="823"/>
    <col min="12045" max="12045" width="3.42578125" style="823" customWidth="1"/>
    <col min="12046" max="12048" width="7.42578125" style="823" customWidth="1"/>
    <col min="12049" max="12049" width="8.28515625" style="823" customWidth="1"/>
    <col min="12050" max="12050" width="2" style="823" customWidth="1"/>
    <col min="12051" max="12051" width="7.42578125" style="823" customWidth="1"/>
    <col min="12052" max="12052" width="2" style="823" customWidth="1"/>
    <col min="12053" max="12053" width="7.42578125" style="823" customWidth="1"/>
    <col min="12054" max="12054" width="8.7109375" style="823"/>
    <col min="12055" max="12055" width="10.42578125" style="823" customWidth="1"/>
    <col min="12056" max="12056" width="1.28515625" style="823" customWidth="1"/>
    <col min="12057" max="12061" width="8.7109375" style="823"/>
    <col min="12062" max="12062" width="1.28515625" style="823" customWidth="1"/>
    <col min="12063" max="12067" width="8.7109375" style="823"/>
    <col min="12068" max="12068" width="1.28515625" style="823" customWidth="1"/>
    <col min="12069" max="12073" width="8.7109375" style="823"/>
    <col min="12074" max="12074" width="1.28515625" style="823" customWidth="1"/>
    <col min="12075" max="12079" width="8.7109375" style="823"/>
    <col min="12080" max="12080" width="1.28515625" style="823" customWidth="1"/>
    <col min="12081" max="12085" width="8.7109375" style="823"/>
    <col min="12086" max="12086" width="1.28515625" style="823" customWidth="1"/>
    <col min="12087" max="12091" width="8.7109375" style="823"/>
    <col min="12092" max="12092" width="1.28515625" style="823" customWidth="1"/>
    <col min="12093" max="12097" width="8.7109375" style="823"/>
    <col min="12098" max="12098" width="1.28515625" style="823" customWidth="1"/>
    <col min="12099" max="12288" width="8.7109375" style="823"/>
    <col min="12289" max="12289" width="10" style="823" customWidth="1"/>
    <col min="12290" max="12290" width="4.42578125" style="823" customWidth="1"/>
    <col min="12291" max="12291" width="8.7109375" style="823"/>
    <col min="12292" max="12292" width="3.85546875" style="823" customWidth="1"/>
    <col min="12293" max="12293" width="8.85546875" style="823" customWidth="1"/>
    <col min="12294" max="12294" width="9.42578125" style="823" customWidth="1"/>
    <col min="12295" max="12299" width="10.7109375" style="823" customWidth="1"/>
    <col min="12300" max="12300" width="8.7109375" style="823"/>
    <col min="12301" max="12301" width="3.42578125" style="823" customWidth="1"/>
    <col min="12302" max="12304" width="7.42578125" style="823" customWidth="1"/>
    <col min="12305" max="12305" width="8.28515625" style="823" customWidth="1"/>
    <col min="12306" max="12306" width="2" style="823" customWidth="1"/>
    <col min="12307" max="12307" width="7.42578125" style="823" customWidth="1"/>
    <col min="12308" max="12308" width="2" style="823" customWidth="1"/>
    <col min="12309" max="12309" width="7.42578125" style="823" customWidth="1"/>
    <col min="12310" max="12310" width="8.7109375" style="823"/>
    <col min="12311" max="12311" width="10.42578125" style="823" customWidth="1"/>
    <col min="12312" max="12312" width="1.28515625" style="823" customWidth="1"/>
    <col min="12313" max="12317" width="8.7109375" style="823"/>
    <col min="12318" max="12318" width="1.28515625" style="823" customWidth="1"/>
    <col min="12319" max="12323" width="8.7109375" style="823"/>
    <col min="12324" max="12324" width="1.28515625" style="823" customWidth="1"/>
    <col min="12325" max="12329" width="8.7109375" style="823"/>
    <col min="12330" max="12330" width="1.28515625" style="823" customWidth="1"/>
    <col min="12331" max="12335" width="8.7109375" style="823"/>
    <col min="12336" max="12336" width="1.28515625" style="823" customWidth="1"/>
    <col min="12337" max="12341" width="8.7109375" style="823"/>
    <col min="12342" max="12342" width="1.28515625" style="823" customWidth="1"/>
    <col min="12343" max="12347" width="8.7109375" style="823"/>
    <col min="12348" max="12348" width="1.28515625" style="823" customWidth="1"/>
    <col min="12349" max="12353" width="8.7109375" style="823"/>
    <col min="12354" max="12354" width="1.28515625" style="823" customWidth="1"/>
    <col min="12355" max="12544" width="8.7109375" style="823"/>
    <col min="12545" max="12545" width="10" style="823" customWidth="1"/>
    <col min="12546" max="12546" width="4.42578125" style="823" customWidth="1"/>
    <col min="12547" max="12547" width="8.7109375" style="823"/>
    <col min="12548" max="12548" width="3.85546875" style="823" customWidth="1"/>
    <col min="12549" max="12549" width="8.85546875" style="823" customWidth="1"/>
    <col min="12550" max="12550" width="9.42578125" style="823" customWidth="1"/>
    <col min="12551" max="12555" width="10.7109375" style="823" customWidth="1"/>
    <col min="12556" max="12556" width="8.7109375" style="823"/>
    <col min="12557" max="12557" width="3.42578125" style="823" customWidth="1"/>
    <col min="12558" max="12560" width="7.42578125" style="823" customWidth="1"/>
    <col min="12561" max="12561" width="8.28515625" style="823" customWidth="1"/>
    <col min="12562" max="12562" width="2" style="823" customWidth="1"/>
    <col min="12563" max="12563" width="7.42578125" style="823" customWidth="1"/>
    <col min="12564" max="12564" width="2" style="823" customWidth="1"/>
    <col min="12565" max="12565" width="7.42578125" style="823" customWidth="1"/>
    <col min="12566" max="12566" width="8.7109375" style="823"/>
    <col min="12567" max="12567" width="10.42578125" style="823" customWidth="1"/>
    <col min="12568" max="12568" width="1.28515625" style="823" customWidth="1"/>
    <col min="12569" max="12573" width="8.7109375" style="823"/>
    <col min="12574" max="12574" width="1.28515625" style="823" customWidth="1"/>
    <col min="12575" max="12579" width="8.7109375" style="823"/>
    <col min="12580" max="12580" width="1.28515625" style="823" customWidth="1"/>
    <col min="12581" max="12585" width="8.7109375" style="823"/>
    <col min="12586" max="12586" width="1.28515625" style="823" customWidth="1"/>
    <col min="12587" max="12591" width="8.7109375" style="823"/>
    <col min="12592" max="12592" width="1.28515625" style="823" customWidth="1"/>
    <col min="12593" max="12597" width="8.7109375" style="823"/>
    <col min="12598" max="12598" width="1.28515625" style="823" customWidth="1"/>
    <col min="12599" max="12603" width="8.7109375" style="823"/>
    <col min="12604" max="12604" width="1.28515625" style="823" customWidth="1"/>
    <col min="12605" max="12609" width="8.7109375" style="823"/>
    <col min="12610" max="12610" width="1.28515625" style="823" customWidth="1"/>
    <col min="12611" max="12800" width="8.7109375" style="823"/>
    <col min="12801" max="12801" width="10" style="823" customWidth="1"/>
    <col min="12802" max="12802" width="4.42578125" style="823" customWidth="1"/>
    <col min="12803" max="12803" width="8.7109375" style="823"/>
    <col min="12804" max="12804" width="3.85546875" style="823" customWidth="1"/>
    <col min="12805" max="12805" width="8.85546875" style="823" customWidth="1"/>
    <col min="12806" max="12806" width="9.42578125" style="823" customWidth="1"/>
    <col min="12807" max="12811" width="10.7109375" style="823" customWidth="1"/>
    <col min="12812" max="12812" width="8.7109375" style="823"/>
    <col min="12813" max="12813" width="3.42578125" style="823" customWidth="1"/>
    <col min="12814" max="12816" width="7.42578125" style="823" customWidth="1"/>
    <col min="12817" max="12817" width="8.28515625" style="823" customWidth="1"/>
    <col min="12818" max="12818" width="2" style="823" customWidth="1"/>
    <col min="12819" max="12819" width="7.42578125" style="823" customWidth="1"/>
    <col min="12820" max="12820" width="2" style="823" customWidth="1"/>
    <col min="12821" max="12821" width="7.42578125" style="823" customWidth="1"/>
    <col min="12822" max="12822" width="8.7109375" style="823"/>
    <col min="12823" max="12823" width="10.42578125" style="823" customWidth="1"/>
    <col min="12824" max="12824" width="1.28515625" style="823" customWidth="1"/>
    <col min="12825" max="12829" width="8.7109375" style="823"/>
    <col min="12830" max="12830" width="1.28515625" style="823" customWidth="1"/>
    <col min="12831" max="12835" width="8.7109375" style="823"/>
    <col min="12836" max="12836" width="1.28515625" style="823" customWidth="1"/>
    <col min="12837" max="12841" width="8.7109375" style="823"/>
    <col min="12842" max="12842" width="1.28515625" style="823" customWidth="1"/>
    <col min="12843" max="12847" width="8.7109375" style="823"/>
    <col min="12848" max="12848" width="1.28515625" style="823" customWidth="1"/>
    <col min="12849" max="12853" width="8.7109375" style="823"/>
    <col min="12854" max="12854" width="1.28515625" style="823" customWidth="1"/>
    <col min="12855" max="12859" width="8.7109375" style="823"/>
    <col min="12860" max="12860" width="1.28515625" style="823" customWidth="1"/>
    <col min="12861" max="12865" width="8.7109375" style="823"/>
    <col min="12866" max="12866" width="1.28515625" style="823" customWidth="1"/>
    <col min="12867" max="13056" width="8.7109375" style="823"/>
    <col min="13057" max="13057" width="10" style="823" customWidth="1"/>
    <col min="13058" max="13058" width="4.42578125" style="823" customWidth="1"/>
    <col min="13059" max="13059" width="8.7109375" style="823"/>
    <col min="13060" max="13060" width="3.85546875" style="823" customWidth="1"/>
    <col min="13061" max="13061" width="8.85546875" style="823" customWidth="1"/>
    <col min="13062" max="13062" width="9.42578125" style="823" customWidth="1"/>
    <col min="13063" max="13067" width="10.7109375" style="823" customWidth="1"/>
    <col min="13068" max="13068" width="8.7109375" style="823"/>
    <col min="13069" max="13069" width="3.42578125" style="823" customWidth="1"/>
    <col min="13070" max="13072" width="7.42578125" style="823" customWidth="1"/>
    <col min="13073" max="13073" width="8.28515625" style="823" customWidth="1"/>
    <col min="13074" max="13074" width="2" style="823" customWidth="1"/>
    <col min="13075" max="13075" width="7.42578125" style="823" customWidth="1"/>
    <col min="13076" max="13076" width="2" style="823" customWidth="1"/>
    <col min="13077" max="13077" width="7.42578125" style="823" customWidth="1"/>
    <col min="13078" max="13078" width="8.7109375" style="823"/>
    <col min="13079" max="13079" width="10.42578125" style="823" customWidth="1"/>
    <col min="13080" max="13080" width="1.28515625" style="823" customWidth="1"/>
    <col min="13081" max="13085" width="8.7109375" style="823"/>
    <col min="13086" max="13086" width="1.28515625" style="823" customWidth="1"/>
    <col min="13087" max="13091" width="8.7109375" style="823"/>
    <col min="13092" max="13092" width="1.28515625" style="823" customWidth="1"/>
    <col min="13093" max="13097" width="8.7109375" style="823"/>
    <col min="13098" max="13098" width="1.28515625" style="823" customWidth="1"/>
    <col min="13099" max="13103" width="8.7109375" style="823"/>
    <col min="13104" max="13104" width="1.28515625" style="823" customWidth="1"/>
    <col min="13105" max="13109" width="8.7109375" style="823"/>
    <col min="13110" max="13110" width="1.28515625" style="823" customWidth="1"/>
    <col min="13111" max="13115" width="8.7109375" style="823"/>
    <col min="13116" max="13116" width="1.28515625" style="823" customWidth="1"/>
    <col min="13117" max="13121" width="8.7109375" style="823"/>
    <col min="13122" max="13122" width="1.28515625" style="823" customWidth="1"/>
    <col min="13123" max="13312" width="8.7109375" style="823"/>
    <col min="13313" max="13313" width="10" style="823" customWidth="1"/>
    <col min="13314" max="13314" width="4.42578125" style="823" customWidth="1"/>
    <col min="13315" max="13315" width="8.7109375" style="823"/>
    <col min="13316" max="13316" width="3.85546875" style="823" customWidth="1"/>
    <col min="13317" max="13317" width="8.85546875" style="823" customWidth="1"/>
    <col min="13318" max="13318" width="9.42578125" style="823" customWidth="1"/>
    <col min="13319" max="13323" width="10.7109375" style="823" customWidth="1"/>
    <col min="13324" max="13324" width="8.7109375" style="823"/>
    <col min="13325" max="13325" width="3.42578125" style="823" customWidth="1"/>
    <col min="13326" max="13328" width="7.42578125" style="823" customWidth="1"/>
    <col min="13329" max="13329" width="8.28515625" style="823" customWidth="1"/>
    <col min="13330" max="13330" width="2" style="823" customWidth="1"/>
    <col min="13331" max="13331" width="7.42578125" style="823" customWidth="1"/>
    <col min="13332" max="13332" width="2" style="823" customWidth="1"/>
    <col min="13333" max="13333" width="7.42578125" style="823" customWidth="1"/>
    <col min="13334" max="13334" width="8.7109375" style="823"/>
    <col min="13335" max="13335" width="10.42578125" style="823" customWidth="1"/>
    <col min="13336" max="13336" width="1.28515625" style="823" customWidth="1"/>
    <col min="13337" max="13341" width="8.7109375" style="823"/>
    <col min="13342" max="13342" width="1.28515625" style="823" customWidth="1"/>
    <col min="13343" max="13347" width="8.7109375" style="823"/>
    <col min="13348" max="13348" width="1.28515625" style="823" customWidth="1"/>
    <col min="13349" max="13353" width="8.7109375" style="823"/>
    <col min="13354" max="13354" width="1.28515625" style="823" customWidth="1"/>
    <col min="13355" max="13359" width="8.7109375" style="823"/>
    <col min="13360" max="13360" width="1.28515625" style="823" customWidth="1"/>
    <col min="13361" max="13365" width="8.7109375" style="823"/>
    <col min="13366" max="13366" width="1.28515625" style="823" customWidth="1"/>
    <col min="13367" max="13371" width="8.7109375" style="823"/>
    <col min="13372" max="13372" width="1.28515625" style="823" customWidth="1"/>
    <col min="13373" max="13377" width="8.7109375" style="823"/>
    <col min="13378" max="13378" width="1.28515625" style="823" customWidth="1"/>
    <col min="13379" max="13568" width="8.7109375" style="823"/>
    <col min="13569" max="13569" width="10" style="823" customWidth="1"/>
    <col min="13570" max="13570" width="4.42578125" style="823" customWidth="1"/>
    <col min="13571" max="13571" width="8.7109375" style="823"/>
    <col min="13572" max="13572" width="3.85546875" style="823" customWidth="1"/>
    <col min="13573" max="13573" width="8.85546875" style="823" customWidth="1"/>
    <col min="13574" max="13574" width="9.42578125" style="823" customWidth="1"/>
    <col min="13575" max="13579" width="10.7109375" style="823" customWidth="1"/>
    <col min="13580" max="13580" width="8.7109375" style="823"/>
    <col min="13581" max="13581" width="3.42578125" style="823" customWidth="1"/>
    <col min="13582" max="13584" width="7.42578125" style="823" customWidth="1"/>
    <col min="13585" max="13585" width="8.28515625" style="823" customWidth="1"/>
    <col min="13586" max="13586" width="2" style="823" customWidth="1"/>
    <col min="13587" max="13587" width="7.42578125" style="823" customWidth="1"/>
    <col min="13588" max="13588" width="2" style="823" customWidth="1"/>
    <col min="13589" max="13589" width="7.42578125" style="823" customWidth="1"/>
    <col min="13590" max="13590" width="8.7109375" style="823"/>
    <col min="13591" max="13591" width="10.42578125" style="823" customWidth="1"/>
    <col min="13592" max="13592" width="1.28515625" style="823" customWidth="1"/>
    <col min="13593" max="13597" width="8.7109375" style="823"/>
    <col min="13598" max="13598" width="1.28515625" style="823" customWidth="1"/>
    <col min="13599" max="13603" width="8.7109375" style="823"/>
    <col min="13604" max="13604" width="1.28515625" style="823" customWidth="1"/>
    <col min="13605" max="13609" width="8.7109375" style="823"/>
    <col min="13610" max="13610" width="1.28515625" style="823" customWidth="1"/>
    <col min="13611" max="13615" width="8.7109375" style="823"/>
    <col min="13616" max="13616" width="1.28515625" style="823" customWidth="1"/>
    <col min="13617" max="13621" width="8.7109375" style="823"/>
    <col min="13622" max="13622" width="1.28515625" style="823" customWidth="1"/>
    <col min="13623" max="13627" width="8.7109375" style="823"/>
    <col min="13628" max="13628" width="1.28515625" style="823" customWidth="1"/>
    <col min="13629" max="13633" width="8.7109375" style="823"/>
    <col min="13634" max="13634" width="1.28515625" style="823" customWidth="1"/>
    <col min="13635" max="13824" width="8.7109375" style="823"/>
    <col min="13825" max="13825" width="10" style="823" customWidth="1"/>
    <col min="13826" max="13826" width="4.42578125" style="823" customWidth="1"/>
    <col min="13827" max="13827" width="8.7109375" style="823"/>
    <col min="13828" max="13828" width="3.85546875" style="823" customWidth="1"/>
    <col min="13829" max="13829" width="8.85546875" style="823" customWidth="1"/>
    <col min="13830" max="13830" width="9.42578125" style="823" customWidth="1"/>
    <col min="13831" max="13835" width="10.7109375" style="823" customWidth="1"/>
    <col min="13836" max="13836" width="8.7109375" style="823"/>
    <col min="13837" max="13837" width="3.42578125" style="823" customWidth="1"/>
    <col min="13838" max="13840" width="7.42578125" style="823" customWidth="1"/>
    <col min="13841" max="13841" width="8.28515625" style="823" customWidth="1"/>
    <col min="13842" max="13842" width="2" style="823" customWidth="1"/>
    <col min="13843" max="13843" width="7.42578125" style="823" customWidth="1"/>
    <col min="13844" max="13844" width="2" style="823" customWidth="1"/>
    <col min="13845" max="13845" width="7.42578125" style="823" customWidth="1"/>
    <col min="13846" max="13846" width="8.7109375" style="823"/>
    <col min="13847" max="13847" width="10.42578125" style="823" customWidth="1"/>
    <col min="13848" max="13848" width="1.28515625" style="823" customWidth="1"/>
    <col min="13849" max="13853" width="8.7109375" style="823"/>
    <col min="13854" max="13854" width="1.28515625" style="823" customWidth="1"/>
    <col min="13855" max="13859" width="8.7109375" style="823"/>
    <col min="13860" max="13860" width="1.28515625" style="823" customWidth="1"/>
    <col min="13861" max="13865" width="8.7109375" style="823"/>
    <col min="13866" max="13866" width="1.28515625" style="823" customWidth="1"/>
    <col min="13867" max="13871" width="8.7109375" style="823"/>
    <col min="13872" max="13872" width="1.28515625" style="823" customWidth="1"/>
    <col min="13873" max="13877" width="8.7109375" style="823"/>
    <col min="13878" max="13878" width="1.28515625" style="823" customWidth="1"/>
    <col min="13879" max="13883" width="8.7109375" style="823"/>
    <col min="13884" max="13884" width="1.28515625" style="823" customWidth="1"/>
    <col min="13885" max="13889" width="8.7109375" style="823"/>
    <col min="13890" max="13890" width="1.28515625" style="823" customWidth="1"/>
    <col min="13891" max="14080" width="8.7109375" style="823"/>
    <col min="14081" max="14081" width="10" style="823" customWidth="1"/>
    <col min="14082" max="14082" width="4.42578125" style="823" customWidth="1"/>
    <col min="14083" max="14083" width="8.7109375" style="823"/>
    <col min="14084" max="14084" width="3.85546875" style="823" customWidth="1"/>
    <col min="14085" max="14085" width="8.85546875" style="823" customWidth="1"/>
    <col min="14086" max="14086" width="9.42578125" style="823" customWidth="1"/>
    <col min="14087" max="14091" width="10.7109375" style="823" customWidth="1"/>
    <col min="14092" max="14092" width="8.7109375" style="823"/>
    <col min="14093" max="14093" width="3.42578125" style="823" customWidth="1"/>
    <col min="14094" max="14096" width="7.42578125" style="823" customWidth="1"/>
    <col min="14097" max="14097" width="8.28515625" style="823" customWidth="1"/>
    <col min="14098" max="14098" width="2" style="823" customWidth="1"/>
    <col min="14099" max="14099" width="7.42578125" style="823" customWidth="1"/>
    <col min="14100" max="14100" width="2" style="823" customWidth="1"/>
    <col min="14101" max="14101" width="7.42578125" style="823" customWidth="1"/>
    <col min="14102" max="14102" width="8.7109375" style="823"/>
    <col min="14103" max="14103" width="10.42578125" style="823" customWidth="1"/>
    <col min="14104" max="14104" width="1.28515625" style="823" customWidth="1"/>
    <col min="14105" max="14109" width="8.7109375" style="823"/>
    <col min="14110" max="14110" width="1.28515625" style="823" customWidth="1"/>
    <col min="14111" max="14115" width="8.7109375" style="823"/>
    <col min="14116" max="14116" width="1.28515625" style="823" customWidth="1"/>
    <col min="14117" max="14121" width="8.7109375" style="823"/>
    <col min="14122" max="14122" width="1.28515625" style="823" customWidth="1"/>
    <col min="14123" max="14127" width="8.7109375" style="823"/>
    <col min="14128" max="14128" width="1.28515625" style="823" customWidth="1"/>
    <col min="14129" max="14133" width="8.7109375" style="823"/>
    <col min="14134" max="14134" width="1.28515625" style="823" customWidth="1"/>
    <col min="14135" max="14139" width="8.7109375" style="823"/>
    <col min="14140" max="14140" width="1.28515625" style="823" customWidth="1"/>
    <col min="14141" max="14145" width="8.7109375" style="823"/>
    <col min="14146" max="14146" width="1.28515625" style="823" customWidth="1"/>
    <col min="14147" max="14336" width="8.7109375" style="823"/>
    <col min="14337" max="14337" width="10" style="823" customWidth="1"/>
    <col min="14338" max="14338" width="4.42578125" style="823" customWidth="1"/>
    <col min="14339" max="14339" width="8.7109375" style="823"/>
    <col min="14340" max="14340" width="3.85546875" style="823" customWidth="1"/>
    <col min="14341" max="14341" width="8.85546875" style="823" customWidth="1"/>
    <col min="14342" max="14342" width="9.42578125" style="823" customWidth="1"/>
    <col min="14343" max="14347" width="10.7109375" style="823" customWidth="1"/>
    <col min="14348" max="14348" width="8.7109375" style="823"/>
    <col min="14349" max="14349" width="3.42578125" style="823" customWidth="1"/>
    <col min="14350" max="14352" width="7.42578125" style="823" customWidth="1"/>
    <col min="14353" max="14353" width="8.28515625" style="823" customWidth="1"/>
    <col min="14354" max="14354" width="2" style="823" customWidth="1"/>
    <col min="14355" max="14355" width="7.42578125" style="823" customWidth="1"/>
    <col min="14356" max="14356" width="2" style="823" customWidth="1"/>
    <col min="14357" max="14357" width="7.42578125" style="823" customWidth="1"/>
    <col min="14358" max="14358" width="8.7109375" style="823"/>
    <col min="14359" max="14359" width="10.42578125" style="823" customWidth="1"/>
    <col min="14360" max="14360" width="1.28515625" style="823" customWidth="1"/>
    <col min="14361" max="14365" width="8.7109375" style="823"/>
    <col min="14366" max="14366" width="1.28515625" style="823" customWidth="1"/>
    <col min="14367" max="14371" width="8.7109375" style="823"/>
    <col min="14372" max="14372" width="1.28515625" style="823" customWidth="1"/>
    <col min="14373" max="14377" width="8.7109375" style="823"/>
    <col min="14378" max="14378" width="1.28515625" style="823" customWidth="1"/>
    <col min="14379" max="14383" width="8.7109375" style="823"/>
    <col min="14384" max="14384" width="1.28515625" style="823" customWidth="1"/>
    <col min="14385" max="14389" width="8.7109375" style="823"/>
    <col min="14390" max="14390" width="1.28515625" style="823" customWidth="1"/>
    <col min="14391" max="14395" width="8.7109375" style="823"/>
    <col min="14396" max="14396" width="1.28515625" style="823" customWidth="1"/>
    <col min="14397" max="14401" width="8.7109375" style="823"/>
    <col min="14402" max="14402" width="1.28515625" style="823" customWidth="1"/>
    <col min="14403" max="14592" width="8.7109375" style="823"/>
    <col min="14593" max="14593" width="10" style="823" customWidth="1"/>
    <col min="14594" max="14594" width="4.42578125" style="823" customWidth="1"/>
    <col min="14595" max="14595" width="8.7109375" style="823"/>
    <col min="14596" max="14596" width="3.85546875" style="823" customWidth="1"/>
    <col min="14597" max="14597" width="8.85546875" style="823" customWidth="1"/>
    <col min="14598" max="14598" width="9.42578125" style="823" customWidth="1"/>
    <col min="14599" max="14603" width="10.7109375" style="823" customWidth="1"/>
    <col min="14604" max="14604" width="8.7109375" style="823"/>
    <col min="14605" max="14605" width="3.42578125" style="823" customWidth="1"/>
    <col min="14606" max="14608" width="7.42578125" style="823" customWidth="1"/>
    <col min="14609" max="14609" width="8.28515625" style="823" customWidth="1"/>
    <col min="14610" max="14610" width="2" style="823" customWidth="1"/>
    <col min="14611" max="14611" width="7.42578125" style="823" customWidth="1"/>
    <col min="14612" max="14612" width="2" style="823" customWidth="1"/>
    <col min="14613" max="14613" width="7.42578125" style="823" customWidth="1"/>
    <col min="14614" max="14614" width="8.7109375" style="823"/>
    <col min="14615" max="14615" width="10.42578125" style="823" customWidth="1"/>
    <col min="14616" max="14616" width="1.28515625" style="823" customWidth="1"/>
    <col min="14617" max="14621" width="8.7109375" style="823"/>
    <col min="14622" max="14622" width="1.28515625" style="823" customWidth="1"/>
    <col min="14623" max="14627" width="8.7109375" style="823"/>
    <col min="14628" max="14628" width="1.28515625" style="823" customWidth="1"/>
    <col min="14629" max="14633" width="8.7109375" style="823"/>
    <col min="14634" max="14634" width="1.28515625" style="823" customWidth="1"/>
    <col min="14635" max="14639" width="8.7109375" style="823"/>
    <col min="14640" max="14640" width="1.28515625" style="823" customWidth="1"/>
    <col min="14641" max="14645" width="8.7109375" style="823"/>
    <col min="14646" max="14646" width="1.28515625" style="823" customWidth="1"/>
    <col min="14647" max="14651" width="8.7109375" style="823"/>
    <col min="14652" max="14652" width="1.28515625" style="823" customWidth="1"/>
    <col min="14653" max="14657" width="8.7109375" style="823"/>
    <col min="14658" max="14658" width="1.28515625" style="823" customWidth="1"/>
    <col min="14659" max="14848" width="8.7109375" style="823"/>
    <col min="14849" max="14849" width="10" style="823" customWidth="1"/>
    <col min="14850" max="14850" width="4.42578125" style="823" customWidth="1"/>
    <col min="14851" max="14851" width="8.7109375" style="823"/>
    <col min="14852" max="14852" width="3.85546875" style="823" customWidth="1"/>
    <col min="14853" max="14853" width="8.85546875" style="823" customWidth="1"/>
    <col min="14854" max="14854" width="9.42578125" style="823" customWidth="1"/>
    <col min="14855" max="14859" width="10.7109375" style="823" customWidth="1"/>
    <col min="14860" max="14860" width="8.7109375" style="823"/>
    <col min="14861" max="14861" width="3.42578125" style="823" customWidth="1"/>
    <col min="14862" max="14864" width="7.42578125" style="823" customWidth="1"/>
    <col min="14865" max="14865" width="8.28515625" style="823" customWidth="1"/>
    <col min="14866" max="14866" width="2" style="823" customWidth="1"/>
    <col min="14867" max="14867" width="7.42578125" style="823" customWidth="1"/>
    <col min="14868" max="14868" width="2" style="823" customWidth="1"/>
    <col min="14869" max="14869" width="7.42578125" style="823" customWidth="1"/>
    <col min="14870" max="14870" width="8.7109375" style="823"/>
    <col min="14871" max="14871" width="10.42578125" style="823" customWidth="1"/>
    <col min="14872" max="14872" width="1.28515625" style="823" customWidth="1"/>
    <col min="14873" max="14877" width="8.7109375" style="823"/>
    <col min="14878" max="14878" width="1.28515625" style="823" customWidth="1"/>
    <col min="14879" max="14883" width="8.7109375" style="823"/>
    <col min="14884" max="14884" width="1.28515625" style="823" customWidth="1"/>
    <col min="14885" max="14889" width="8.7109375" style="823"/>
    <col min="14890" max="14890" width="1.28515625" style="823" customWidth="1"/>
    <col min="14891" max="14895" width="8.7109375" style="823"/>
    <col min="14896" max="14896" width="1.28515625" style="823" customWidth="1"/>
    <col min="14897" max="14901" width="8.7109375" style="823"/>
    <col min="14902" max="14902" width="1.28515625" style="823" customWidth="1"/>
    <col min="14903" max="14907" width="8.7109375" style="823"/>
    <col min="14908" max="14908" width="1.28515625" style="823" customWidth="1"/>
    <col min="14909" max="14913" width="8.7109375" style="823"/>
    <col min="14914" max="14914" width="1.28515625" style="823" customWidth="1"/>
    <col min="14915" max="15104" width="8.7109375" style="823"/>
    <col min="15105" max="15105" width="10" style="823" customWidth="1"/>
    <col min="15106" max="15106" width="4.42578125" style="823" customWidth="1"/>
    <col min="15107" max="15107" width="8.7109375" style="823"/>
    <col min="15108" max="15108" width="3.85546875" style="823" customWidth="1"/>
    <col min="15109" max="15109" width="8.85546875" style="823" customWidth="1"/>
    <col min="15110" max="15110" width="9.42578125" style="823" customWidth="1"/>
    <col min="15111" max="15115" width="10.7109375" style="823" customWidth="1"/>
    <col min="15116" max="15116" width="8.7109375" style="823"/>
    <col min="15117" max="15117" width="3.42578125" style="823" customWidth="1"/>
    <col min="15118" max="15120" width="7.42578125" style="823" customWidth="1"/>
    <col min="15121" max="15121" width="8.28515625" style="823" customWidth="1"/>
    <col min="15122" max="15122" width="2" style="823" customWidth="1"/>
    <col min="15123" max="15123" width="7.42578125" style="823" customWidth="1"/>
    <col min="15124" max="15124" width="2" style="823" customWidth="1"/>
    <col min="15125" max="15125" width="7.42578125" style="823" customWidth="1"/>
    <col min="15126" max="15126" width="8.7109375" style="823"/>
    <col min="15127" max="15127" width="10.42578125" style="823" customWidth="1"/>
    <col min="15128" max="15128" width="1.28515625" style="823" customWidth="1"/>
    <col min="15129" max="15133" width="8.7109375" style="823"/>
    <col min="15134" max="15134" width="1.28515625" style="823" customWidth="1"/>
    <col min="15135" max="15139" width="8.7109375" style="823"/>
    <col min="15140" max="15140" width="1.28515625" style="823" customWidth="1"/>
    <col min="15141" max="15145" width="8.7109375" style="823"/>
    <col min="15146" max="15146" width="1.28515625" style="823" customWidth="1"/>
    <col min="15147" max="15151" width="8.7109375" style="823"/>
    <col min="15152" max="15152" width="1.28515625" style="823" customWidth="1"/>
    <col min="15153" max="15157" width="8.7109375" style="823"/>
    <col min="15158" max="15158" width="1.28515625" style="823" customWidth="1"/>
    <col min="15159" max="15163" width="8.7109375" style="823"/>
    <col min="15164" max="15164" width="1.28515625" style="823" customWidth="1"/>
    <col min="15165" max="15169" width="8.7109375" style="823"/>
    <col min="15170" max="15170" width="1.28515625" style="823" customWidth="1"/>
    <col min="15171" max="15360" width="8.7109375" style="823"/>
    <col min="15361" max="15361" width="10" style="823" customWidth="1"/>
    <col min="15362" max="15362" width="4.42578125" style="823" customWidth="1"/>
    <col min="15363" max="15363" width="8.7109375" style="823"/>
    <col min="15364" max="15364" width="3.85546875" style="823" customWidth="1"/>
    <col min="15365" max="15365" width="8.85546875" style="823" customWidth="1"/>
    <col min="15366" max="15366" width="9.42578125" style="823" customWidth="1"/>
    <col min="15367" max="15371" width="10.7109375" style="823" customWidth="1"/>
    <col min="15372" max="15372" width="8.7109375" style="823"/>
    <col min="15373" max="15373" width="3.42578125" style="823" customWidth="1"/>
    <col min="15374" max="15376" width="7.42578125" style="823" customWidth="1"/>
    <col min="15377" max="15377" width="8.28515625" style="823" customWidth="1"/>
    <col min="15378" max="15378" width="2" style="823" customWidth="1"/>
    <col min="15379" max="15379" width="7.42578125" style="823" customWidth="1"/>
    <col min="15380" max="15380" width="2" style="823" customWidth="1"/>
    <col min="15381" max="15381" width="7.42578125" style="823" customWidth="1"/>
    <col min="15382" max="15382" width="8.7109375" style="823"/>
    <col min="15383" max="15383" width="10.42578125" style="823" customWidth="1"/>
    <col min="15384" max="15384" width="1.28515625" style="823" customWidth="1"/>
    <col min="15385" max="15389" width="8.7109375" style="823"/>
    <col min="15390" max="15390" width="1.28515625" style="823" customWidth="1"/>
    <col min="15391" max="15395" width="8.7109375" style="823"/>
    <col min="15396" max="15396" width="1.28515625" style="823" customWidth="1"/>
    <col min="15397" max="15401" width="8.7109375" style="823"/>
    <col min="15402" max="15402" width="1.28515625" style="823" customWidth="1"/>
    <col min="15403" max="15407" width="8.7109375" style="823"/>
    <col min="15408" max="15408" width="1.28515625" style="823" customWidth="1"/>
    <col min="15409" max="15413" width="8.7109375" style="823"/>
    <col min="15414" max="15414" width="1.28515625" style="823" customWidth="1"/>
    <col min="15415" max="15419" width="8.7109375" style="823"/>
    <col min="15420" max="15420" width="1.28515625" style="823" customWidth="1"/>
    <col min="15421" max="15425" width="8.7109375" style="823"/>
    <col min="15426" max="15426" width="1.28515625" style="823" customWidth="1"/>
    <col min="15427" max="15616" width="8.7109375" style="823"/>
    <col min="15617" max="15617" width="10" style="823" customWidth="1"/>
    <col min="15618" max="15618" width="4.42578125" style="823" customWidth="1"/>
    <col min="15619" max="15619" width="8.7109375" style="823"/>
    <col min="15620" max="15620" width="3.85546875" style="823" customWidth="1"/>
    <col min="15621" max="15621" width="8.85546875" style="823" customWidth="1"/>
    <col min="15622" max="15622" width="9.42578125" style="823" customWidth="1"/>
    <col min="15623" max="15627" width="10.7109375" style="823" customWidth="1"/>
    <col min="15628" max="15628" width="8.7109375" style="823"/>
    <col min="15629" max="15629" width="3.42578125" style="823" customWidth="1"/>
    <col min="15630" max="15632" width="7.42578125" style="823" customWidth="1"/>
    <col min="15633" max="15633" width="8.28515625" style="823" customWidth="1"/>
    <col min="15634" max="15634" width="2" style="823" customWidth="1"/>
    <col min="15635" max="15635" width="7.42578125" style="823" customWidth="1"/>
    <col min="15636" max="15636" width="2" style="823" customWidth="1"/>
    <col min="15637" max="15637" width="7.42578125" style="823" customWidth="1"/>
    <col min="15638" max="15638" width="8.7109375" style="823"/>
    <col min="15639" max="15639" width="10.42578125" style="823" customWidth="1"/>
    <col min="15640" max="15640" width="1.28515625" style="823" customWidth="1"/>
    <col min="15641" max="15645" width="8.7109375" style="823"/>
    <col min="15646" max="15646" width="1.28515625" style="823" customWidth="1"/>
    <col min="15647" max="15651" width="8.7109375" style="823"/>
    <col min="15652" max="15652" width="1.28515625" style="823" customWidth="1"/>
    <col min="15653" max="15657" width="8.7109375" style="823"/>
    <col min="15658" max="15658" width="1.28515625" style="823" customWidth="1"/>
    <col min="15659" max="15663" width="8.7109375" style="823"/>
    <col min="15664" max="15664" width="1.28515625" style="823" customWidth="1"/>
    <col min="15665" max="15669" width="8.7109375" style="823"/>
    <col min="15670" max="15670" width="1.28515625" style="823" customWidth="1"/>
    <col min="15671" max="15675" width="8.7109375" style="823"/>
    <col min="15676" max="15676" width="1.28515625" style="823" customWidth="1"/>
    <col min="15677" max="15681" width="8.7109375" style="823"/>
    <col min="15682" max="15682" width="1.28515625" style="823" customWidth="1"/>
    <col min="15683" max="15872" width="8.7109375" style="823"/>
    <col min="15873" max="15873" width="10" style="823" customWidth="1"/>
    <col min="15874" max="15874" width="4.42578125" style="823" customWidth="1"/>
    <col min="15875" max="15875" width="8.7109375" style="823"/>
    <col min="15876" max="15876" width="3.85546875" style="823" customWidth="1"/>
    <col min="15877" max="15877" width="8.85546875" style="823" customWidth="1"/>
    <col min="15878" max="15878" width="9.42578125" style="823" customWidth="1"/>
    <col min="15879" max="15883" width="10.7109375" style="823" customWidth="1"/>
    <col min="15884" max="15884" width="8.7109375" style="823"/>
    <col min="15885" max="15885" width="3.42578125" style="823" customWidth="1"/>
    <col min="15886" max="15888" width="7.42578125" style="823" customWidth="1"/>
    <col min="15889" max="15889" width="8.28515625" style="823" customWidth="1"/>
    <col min="15890" max="15890" width="2" style="823" customWidth="1"/>
    <col min="15891" max="15891" width="7.42578125" style="823" customWidth="1"/>
    <col min="15892" max="15892" width="2" style="823" customWidth="1"/>
    <col min="15893" max="15893" width="7.42578125" style="823" customWidth="1"/>
    <col min="15894" max="15894" width="8.7109375" style="823"/>
    <col min="15895" max="15895" width="10.42578125" style="823" customWidth="1"/>
    <col min="15896" max="15896" width="1.28515625" style="823" customWidth="1"/>
    <col min="15897" max="15901" width="8.7109375" style="823"/>
    <col min="15902" max="15902" width="1.28515625" style="823" customWidth="1"/>
    <col min="15903" max="15907" width="8.7109375" style="823"/>
    <col min="15908" max="15908" width="1.28515625" style="823" customWidth="1"/>
    <col min="15909" max="15913" width="8.7109375" style="823"/>
    <col min="15914" max="15914" width="1.28515625" style="823" customWidth="1"/>
    <col min="15915" max="15919" width="8.7109375" style="823"/>
    <col min="15920" max="15920" width="1.28515625" style="823" customWidth="1"/>
    <col min="15921" max="15925" width="8.7109375" style="823"/>
    <col min="15926" max="15926" width="1.28515625" style="823" customWidth="1"/>
    <col min="15927" max="15931" width="8.7109375" style="823"/>
    <col min="15932" max="15932" width="1.28515625" style="823" customWidth="1"/>
    <col min="15933" max="15937" width="8.7109375" style="823"/>
    <col min="15938" max="15938" width="1.28515625" style="823" customWidth="1"/>
    <col min="15939" max="16128" width="8.7109375" style="823"/>
    <col min="16129" max="16129" width="10" style="823" customWidth="1"/>
    <col min="16130" max="16130" width="4.42578125" style="823" customWidth="1"/>
    <col min="16131" max="16131" width="8.7109375" style="823"/>
    <col min="16132" max="16132" width="3.85546875" style="823" customWidth="1"/>
    <col min="16133" max="16133" width="8.85546875" style="823" customWidth="1"/>
    <col min="16134" max="16134" width="9.42578125" style="823" customWidth="1"/>
    <col min="16135" max="16139" width="10.7109375" style="823" customWidth="1"/>
    <col min="16140" max="16140" width="8.7109375" style="823"/>
    <col min="16141" max="16141" width="3.42578125" style="823" customWidth="1"/>
    <col min="16142" max="16144" width="7.42578125" style="823" customWidth="1"/>
    <col min="16145" max="16145" width="8.28515625" style="823" customWidth="1"/>
    <col min="16146" max="16146" width="2" style="823" customWidth="1"/>
    <col min="16147" max="16147" width="7.42578125" style="823" customWidth="1"/>
    <col min="16148" max="16148" width="2" style="823" customWidth="1"/>
    <col min="16149" max="16149" width="7.42578125" style="823" customWidth="1"/>
    <col min="16150" max="16150" width="8.7109375" style="823"/>
    <col min="16151" max="16151" width="10.42578125" style="823" customWidth="1"/>
    <col min="16152" max="16152" width="1.28515625" style="823" customWidth="1"/>
    <col min="16153" max="16157" width="8.7109375" style="823"/>
    <col min="16158" max="16158" width="1.28515625" style="823" customWidth="1"/>
    <col min="16159" max="16163" width="8.7109375" style="823"/>
    <col min="16164" max="16164" width="1.28515625" style="823" customWidth="1"/>
    <col min="16165" max="16169" width="8.7109375" style="823"/>
    <col min="16170" max="16170" width="1.28515625" style="823" customWidth="1"/>
    <col min="16171" max="16175" width="8.7109375" style="823"/>
    <col min="16176" max="16176" width="1.28515625" style="823" customWidth="1"/>
    <col min="16177" max="16181" width="8.7109375" style="823"/>
    <col min="16182" max="16182" width="1.28515625" style="823" customWidth="1"/>
    <col min="16183" max="16187" width="8.7109375" style="823"/>
    <col min="16188" max="16188" width="1.28515625" style="823" customWidth="1"/>
    <col min="16189" max="16193" width="8.7109375" style="823"/>
    <col min="16194" max="16194" width="1.28515625" style="823" customWidth="1"/>
    <col min="16195" max="16384" width="8.7109375" style="823"/>
  </cols>
  <sheetData>
    <row r="1" spans="1:71" x14ac:dyDescent="0.2">
      <c r="A1" s="1032" t="s">
        <v>955</v>
      </c>
      <c r="B1" s="1032"/>
      <c r="C1" s="1032"/>
      <c r="D1" s="1032"/>
      <c r="E1" s="1032"/>
      <c r="F1" s="1032"/>
      <c r="G1" s="1032"/>
      <c r="H1" s="1032"/>
      <c r="I1" s="1032"/>
      <c r="J1" s="1032"/>
      <c r="K1" s="1032"/>
      <c r="L1" s="1032"/>
      <c r="M1" s="1032"/>
      <c r="N1" s="1032"/>
      <c r="O1" s="1032"/>
      <c r="P1" s="1032"/>
      <c r="Q1" s="1032"/>
      <c r="R1" s="1032"/>
      <c r="S1" s="1032"/>
      <c r="T1" s="1032"/>
      <c r="U1" s="1032"/>
      <c r="V1" s="1032"/>
      <c r="W1" s="1032"/>
      <c r="Y1" s="1033" t="s">
        <v>956</v>
      </c>
      <c r="Z1" s="1033"/>
      <c r="AA1" s="1033"/>
      <c r="AB1" s="1033"/>
      <c r="AC1" s="1033"/>
      <c r="AE1" s="1033" t="s">
        <v>957</v>
      </c>
      <c r="AF1" s="1033"/>
      <c r="AG1" s="1033"/>
      <c r="AH1" s="1033"/>
      <c r="AI1" s="1033"/>
      <c r="AK1" s="1033" t="s">
        <v>958</v>
      </c>
      <c r="AL1" s="1033"/>
      <c r="AM1" s="1033"/>
      <c r="AN1" s="1033"/>
      <c r="AO1" s="1033"/>
      <c r="AQ1" s="1033" t="s">
        <v>959</v>
      </c>
      <c r="AR1" s="1033"/>
      <c r="AS1" s="1033"/>
      <c r="AT1" s="1033"/>
      <c r="AU1" s="1033"/>
      <c r="AW1" s="1033" t="s">
        <v>960</v>
      </c>
      <c r="AX1" s="1033"/>
      <c r="AY1" s="1033"/>
      <c r="AZ1" s="1033"/>
      <c r="BA1" s="1033"/>
      <c r="BC1" s="1033" t="s">
        <v>961</v>
      </c>
      <c r="BD1" s="1033"/>
      <c r="BE1" s="1033"/>
      <c r="BF1" s="1033"/>
      <c r="BG1" s="1033"/>
      <c r="BI1" s="1033" t="s">
        <v>962</v>
      </c>
      <c r="BJ1" s="1033"/>
      <c r="BK1" s="1033"/>
      <c r="BL1" s="1033"/>
      <c r="BM1" s="1033"/>
      <c r="BO1" s="1034" t="s">
        <v>963</v>
      </c>
      <c r="BP1" s="1034"/>
      <c r="BQ1" s="1034"/>
      <c r="BR1" s="1034"/>
      <c r="BS1" s="1034"/>
    </row>
    <row r="2" spans="1:71" ht="12.75" customHeight="1" x14ac:dyDescent="0.2">
      <c r="A2" s="1032" t="s">
        <v>976</v>
      </c>
      <c r="B2" s="1032"/>
      <c r="C2" s="1032"/>
      <c r="D2" s="1032"/>
      <c r="E2" s="1032"/>
      <c r="F2" s="1032"/>
      <c r="G2" s="1032"/>
      <c r="H2" s="1032"/>
      <c r="I2" s="1032"/>
      <c r="J2" s="1032"/>
      <c r="K2" s="1032"/>
      <c r="L2" s="1032"/>
      <c r="M2" s="1032"/>
      <c r="N2" s="1032"/>
      <c r="O2" s="1032"/>
      <c r="P2" s="1032"/>
      <c r="Q2" s="1032"/>
      <c r="R2" s="1032"/>
      <c r="S2" s="1032"/>
      <c r="T2" s="1032"/>
      <c r="U2" s="1032"/>
      <c r="V2" s="1032"/>
      <c r="W2" s="1032"/>
      <c r="Y2" s="824" t="s">
        <v>964</v>
      </c>
      <c r="Z2" s="825" t="s">
        <v>965</v>
      </c>
      <c r="AA2" s="825" t="s">
        <v>38</v>
      </c>
      <c r="AB2" s="826" t="s">
        <v>966</v>
      </c>
      <c r="AC2" s="826" t="s">
        <v>967</v>
      </c>
      <c r="AE2" s="824" t="s">
        <v>964</v>
      </c>
      <c r="AF2" s="825" t="s">
        <v>965</v>
      </c>
      <c r="AG2" s="825" t="s">
        <v>38</v>
      </c>
      <c r="AH2" s="826" t="s">
        <v>966</v>
      </c>
      <c r="AI2" s="826" t="s">
        <v>967</v>
      </c>
      <c r="AK2" s="824" t="s">
        <v>964</v>
      </c>
      <c r="AL2" s="825" t="s">
        <v>965</v>
      </c>
      <c r="AM2" s="825" t="s">
        <v>38</v>
      </c>
      <c r="AN2" s="826" t="s">
        <v>966</v>
      </c>
      <c r="AO2" s="826" t="s">
        <v>967</v>
      </c>
      <c r="AQ2" s="824" t="s">
        <v>964</v>
      </c>
      <c r="AR2" s="825" t="s">
        <v>965</v>
      </c>
      <c r="AS2" s="825" t="s">
        <v>38</v>
      </c>
      <c r="AT2" s="826" t="s">
        <v>966</v>
      </c>
      <c r="AU2" s="826" t="s">
        <v>967</v>
      </c>
      <c r="AW2" s="824" t="s">
        <v>964</v>
      </c>
      <c r="AX2" s="825" t="s">
        <v>965</v>
      </c>
      <c r="AY2" s="825" t="s">
        <v>38</v>
      </c>
      <c r="AZ2" s="826" t="s">
        <v>966</v>
      </c>
      <c r="BA2" s="826" t="s">
        <v>967</v>
      </c>
      <c r="BC2" s="824" t="s">
        <v>964</v>
      </c>
      <c r="BD2" s="825" t="s">
        <v>965</v>
      </c>
      <c r="BE2" s="825" t="s">
        <v>38</v>
      </c>
      <c r="BF2" s="826" t="s">
        <v>966</v>
      </c>
      <c r="BG2" s="826" t="s">
        <v>967</v>
      </c>
      <c r="BI2" s="824" t="s">
        <v>964</v>
      </c>
      <c r="BJ2" s="825" t="s">
        <v>965</v>
      </c>
      <c r="BK2" s="825" t="s">
        <v>38</v>
      </c>
      <c r="BL2" s="826" t="s">
        <v>966</v>
      </c>
      <c r="BM2" s="826" t="s">
        <v>967</v>
      </c>
      <c r="BO2" s="870" t="s">
        <v>964</v>
      </c>
      <c r="BP2" s="871" t="s">
        <v>965</v>
      </c>
      <c r="BQ2" s="871" t="s">
        <v>38</v>
      </c>
      <c r="BR2" s="872" t="s">
        <v>966</v>
      </c>
      <c r="BS2" s="872" t="s">
        <v>967</v>
      </c>
    </row>
    <row r="3" spans="1:71" ht="13.5" thickBot="1" x14ac:dyDescent="0.25">
      <c r="A3" s="827"/>
      <c r="B3" s="827"/>
      <c r="C3" s="827"/>
      <c r="D3" s="827"/>
      <c r="E3" s="1026" t="s">
        <v>968</v>
      </c>
      <c r="F3" s="1026" t="s">
        <v>969</v>
      </c>
      <c r="G3" s="1031" t="str">
        <f>IF(F11,"Area If Built Separately for Same Numbers of…","")</f>
        <v>Area If Built Separately for Same Numbers of…</v>
      </c>
      <c r="H3" s="1031"/>
      <c r="I3" s="1031"/>
      <c r="J3" s="1031"/>
      <c r="K3" s="1031"/>
      <c r="L3" s="827"/>
      <c r="M3" s="827"/>
      <c r="N3" s="827"/>
      <c r="O3" s="827"/>
      <c r="P3" s="827"/>
      <c r="Q3" s="1026" t="str">
        <f>IF(F11,"","% SF per Grade Level")</f>
        <v/>
      </c>
      <c r="R3" s="827"/>
      <c r="S3" s="1026" t="str">
        <f>IF(F11,"","Combo Chart Area")</f>
        <v/>
      </c>
      <c r="T3" s="827"/>
      <c r="U3" s="1026" t="str">
        <f>IF(F11,"","Area per Grade Level")</f>
        <v/>
      </c>
      <c r="V3" s="827"/>
      <c r="W3" s="827"/>
      <c r="Y3" s="828" t="str">
        <f t="shared" ref="Y3:Y17" si="0">(IF(Z3,ROUND((AA3/(Z3+1)),0),"")&amp;IF(AND((Z3&gt;0),(Z4&gt;0)),"–",""))&amp;IF(Z4,ROUND((AA4/Z4),0),"")</f>
        <v>125</v>
      </c>
      <c r="Z3" s="829">
        <v>0</v>
      </c>
      <c r="AA3" s="830">
        <v>0</v>
      </c>
      <c r="AB3" s="831">
        <f t="shared" ref="AB3:AB17" si="1">IF((Y3=""),"",((AA4-AA3)/(Z4-Z3)))</f>
        <v>125</v>
      </c>
      <c r="AC3" s="831">
        <f t="shared" ref="AC3:AC17" si="2">IF((Y3=""),"",(AA3-(AB3*Z3)))</f>
        <v>0</v>
      </c>
      <c r="AD3" s="832"/>
      <c r="AE3" s="828" t="str">
        <f t="shared" ref="AE3:AE17" si="3">(IF(AF3,ROUND((AG3/(AF3+1)),0),"")&amp;IF(AND((AF3&gt;0),(AF4&gt;0)),"–",""))&amp;IF(AF4,ROUND((AG4/AF4),0),"")</f>
        <v>151</v>
      </c>
      <c r="AF3" s="829">
        <v>0</v>
      </c>
      <c r="AG3" s="830">
        <v>0</v>
      </c>
      <c r="AH3" s="831">
        <f t="shared" ref="AH3:AH17" si="4">IF((AE3=""),"",((AG4-AG3)/(AF4-AF3)))</f>
        <v>151</v>
      </c>
      <c r="AI3" s="831">
        <f t="shared" ref="AI3:AI17" si="5">IF((AE3=""),"",(AG3-(AH3*AF3)))</f>
        <v>0</v>
      </c>
      <c r="AK3" s="828" t="str">
        <f t="shared" ref="AK3:AK17" si="6">(IF(AL3,ROUND((AM3/(AL3+1)),0),"")&amp;IF(AND((AL3&gt;0),(AL4&gt;0)),"–",""))&amp;IF(AL4,ROUND((AM4/AL4),0),"")</f>
        <v>180</v>
      </c>
      <c r="AL3" s="829">
        <v>0</v>
      </c>
      <c r="AM3" s="830">
        <v>0</v>
      </c>
      <c r="AN3" s="831">
        <f t="shared" ref="AN3:AN17" si="7">IF((AK3=""),"",((AM4-AM3)/(AL4-AL3)))</f>
        <v>180</v>
      </c>
      <c r="AO3" s="831">
        <f t="shared" ref="AO3:AO17" si="8">IF((AK3=""),"",(AM3-(AN3*AL3)))</f>
        <v>0</v>
      </c>
      <c r="AQ3" s="828" t="str">
        <f t="shared" ref="AQ3:AQ17" si="9">(IF(AR3,ROUND((AS3/(AR3+1)),0),"")&amp;IF(AND((AR3&gt;0),(AR4&gt;0)),"–",""))&amp;IF(AR4,ROUND((AS4/AR4),0),"")</f>
        <v>113</v>
      </c>
      <c r="AR3" s="829">
        <v>0</v>
      </c>
      <c r="AS3" s="830">
        <v>0</v>
      </c>
      <c r="AT3" s="831">
        <f t="shared" ref="AT3:AT17" si="10">IF((AQ3=""),"",((AS4-AS3)/(AR4-AR3)))</f>
        <v>113</v>
      </c>
      <c r="AU3" s="831">
        <f t="shared" ref="AU3:AU17" si="11">IF((AQ3=""),"",(AS3-(AT3*AR3)))</f>
        <v>0</v>
      </c>
      <c r="AV3" s="832"/>
      <c r="AW3" s="828" t="str">
        <f t="shared" ref="AW3:AW17" si="12">(IF(AX3,ROUND((AY3/(AX3+1)),0),"")&amp;IF(AND((AX3&gt;0),(AX4&gt;0)),"–",""))&amp;IF(AX4,ROUND((AY4/AX4),0),"")</f>
        <v>169</v>
      </c>
      <c r="AX3" s="829">
        <v>0</v>
      </c>
      <c r="AY3" s="830">
        <v>0</v>
      </c>
      <c r="AZ3" s="831">
        <f t="shared" ref="AZ3:AZ17" si="13">IF((AW3=""),"",((AY4-AY3)/(AX4-AX3)))</f>
        <v>169</v>
      </c>
      <c r="BA3" s="831">
        <f t="shared" ref="BA3:BA17" si="14">IF((AW3=""),"",(AY3-(AZ3*AX3)))</f>
        <v>0</v>
      </c>
      <c r="BB3" s="832"/>
      <c r="BC3" s="828" t="str">
        <f t="shared" ref="BC3:BC17" si="15">(IF(BD3,ROUND((BE3/(BD3+1)),0),"")&amp;IF(AND((BD3&gt;0),(BD4&gt;0)),"–",""))&amp;IF(BD4,ROUND((BE4/BD4),0),"")</f>
        <v>151</v>
      </c>
      <c r="BD3" s="829">
        <v>0</v>
      </c>
      <c r="BE3" s="830">
        <v>0</v>
      </c>
      <c r="BF3" s="831">
        <f t="shared" ref="BF3:BF17" si="16">IF((BC3=""),"",((BE4-BE3)/(BD4-BD3)))</f>
        <v>151</v>
      </c>
      <c r="BG3" s="831">
        <f t="shared" ref="BG3:BG17" si="17">IF((BC3=""),"",(BE3-(BF3*BD3)))</f>
        <v>0</v>
      </c>
      <c r="BH3" s="832"/>
      <c r="BI3" s="828" t="str">
        <f t="shared" ref="BI3:BI17" si="18">(IF(BJ3,ROUND((BK3/(BJ3+1)),0),"")&amp;IF(AND((BJ3&gt;0),(BJ4&gt;0)),"–",""))&amp;IF(BJ4,ROUND((BK4/BJ4),0),"")</f>
        <v>180</v>
      </c>
      <c r="BJ3" s="829">
        <v>0</v>
      </c>
      <c r="BK3" s="830">
        <v>0</v>
      </c>
      <c r="BL3" s="831">
        <f t="shared" ref="BL3:BL17" si="19">IF((BI3=""),"",((BK4-BK3)/(BJ4-BJ3)))</f>
        <v>180</v>
      </c>
      <c r="BM3" s="831">
        <f t="shared" ref="BM3:BM17" si="20">IF((BI3=""),"",(BK3-(BL3*BJ3)))</f>
        <v>0</v>
      </c>
      <c r="BN3" s="832"/>
      <c r="BO3" s="873" t="str">
        <f t="shared" ref="BO3:BO17" si="21">(IF(BP3,ROUND((BQ3/(BP3+1)),0),"")&amp;IF(AND((BP3&gt;0),(BP4&gt;0)),"–",""))&amp;IF(BP4,ROUND((BQ4/BP4),0),"")</f>
        <v>190</v>
      </c>
      <c r="BP3" s="874">
        <v>0</v>
      </c>
      <c r="BQ3" s="875">
        <v>0</v>
      </c>
      <c r="BR3" s="876">
        <f t="shared" ref="BR3:BR17" si="22">IF((BO3=""),"",((BQ4-BQ3)/(BP4-BP3)))</f>
        <v>190.28581661891118</v>
      </c>
      <c r="BS3" s="876">
        <f t="shared" ref="BS3:BS17" si="23">IF((BO3=""),"",(BQ3-(BR3*BP3)))</f>
        <v>0</v>
      </c>
    </row>
    <row r="4" spans="1:71" ht="25.5" customHeight="1" thickBot="1" x14ac:dyDescent="0.25">
      <c r="A4" s="833" t="s">
        <v>970</v>
      </c>
      <c r="B4" s="827"/>
      <c r="C4" s="834" t="s">
        <v>971</v>
      </c>
      <c r="D4" s="827"/>
      <c r="E4" s="1026"/>
      <c r="F4" s="1026"/>
      <c r="G4" s="835" t="str">
        <f>IF(F11,"Elementary","")</f>
        <v>Elementary</v>
      </c>
      <c r="H4" s="835" t="str">
        <f>IF(F11,"Middle","")</f>
        <v>Middle</v>
      </c>
      <c r="I4" s="835" t="str">
        <f>IF(F11,"High","")</f>
        <v>High</v>
      </c>
      <c r="J4" s="835" t="str">
        <f>IF(F11,"CTCore","")</f>
        <v>CTCore</v>
      </c>
      <c r="K4" s="835" t="str">
        <f>IF(F11,"CTProgram","")</f>
        <v>CTProgram</v>
      </c>
      <c r="L4" s="835" t="str">
        <f>IF(F11,"Expected Savings","")</f>
        <v>Expected Savings</v>
      </c>
      <c r="M4" s="827"/>
      <c r="N4" s="836" t="str">
        <f>IF(F11,"","EM")</f>
        <v/>
      </c>
      <c r="O4" s="836" t="str">
        <f>IF(F11,"","MH")</f>
        <v/>
      </c>
      <c r="P4" s="836" t="str">
        <f>IF(F11,"","EMH")</f>
        <v/>
      </c>
      <c r="Q4" s="1026"/>
      <c r="R4" s="827"/>
      <c r="S4" s="1026"/>
      <c r="T4" s="827"/>
      <c r="U4" s="1026"/>
      <c r="V4" s="835" t="s">
        <v>38</v>
      </c>
      <c r="W4" s="835" t="s">
        <v>91</v>
      </c>
      <c r="Y4" s="828" t="str">
        <f t="shared" si="0"/>
        <v>125–125</v>
      </c>
      <c r="Z4" s="829">
        <v>350</v>
      </c>
      <c r="AA4" s="837">
        <v>43750</v>
      </c>
      <c r="AB4" s="831">
        <f t="shared" si="1"/>
        <v>125</v>
      </c>
      <c r="AC4" s="831">
        <f t="shared" si="2"/>
        <v>0</v>
      </c>
      <c r="AD4" s="832"/>
      <c r="AE4" s="828" t="str">
        <f t="shared" si="3"/>
        <v>151–151</v>
      </c>
      <c r="AF4" s="829">
        <v>350</v>
      </c>
      <c r="AG4" s="830">
        <v>52850</v>
      </c>
      <c r="AH4" s="831">
        <f t="shared" si="4"/>
        <v>151</v>
      </c>
      <c r="AI4" s="831">
        <f t="shared" si="5"/>
        <v>0</v>
      </c>
      <c r="AJ4" s="832"/>
      <c r="AK4" s="828" t="str">
        <f t="shared" si="6"/>
        <v>179–180</v>
      </c>
      <c r="AL4" s="829">
        <v>350</v>
      </c>
      <c r="AM4" s="837">
        <v>63000</v>
      </c>
      <c r="AN4" s="831">
        <f t="shared" si="7"/>
        <v>180</v>
      </c>
      <c r="AO4" s="831">
        <f t="shared" si="8"/>
        <v>0</v>
      </c>
      <c r="AP4" s="832"/>
      <c r="AQ4" s="828" t="str">
        <f t="shared" si="9"/>
        <v>113–101</v>
      </c>
      <c r="AR4" s="829">
        <v>400</v>
      </c>
      <c r="AS4" s="837">
        <v>45200</v>
      </c>
      <c r="AT4" s="831">
        <f t="shared" si="10"/>
        <v>76.94</v>
      </c>
      <c r="AU4" s="831">
        <f t="shared" si="11"/>
        <v>14424</v>
      </c>
      <c r="AV4" s="832"/>
      <c r="AW4" s="828" t="str">
        <f t="shared" si="12"/>
        <v>169–162</v>
      </c>
      <c r="AX4" s="829">
        <v>400</v>
      </c>
      <c r="AY4" s="837">
        <v>67600</v>
      </c>
      <c r="AZ4" s="831">
        <f t="shared" si="13"/>
        <v>148</v>
      </c>
      <c r="BA4" s="831">
        <f t="shared" si="14"/>
        <v>8400</v>
      </c>
      <c r="BB4" s="832"/>
      <c r="BC4" s="828" t="str">
        <f t="shared" si="15"/>
        <v>151–128</v>
      </c>
      <c r="BD4" s="829">
        <v>350</v>
      </c>
      <c r="BE4" s="837">
        <v>52850</v>
      </c>
      <c r="BF4" s="831">
        <f t="shared" si="16"/>
        <v>104.30857142857143</v>
      </c>
      <c r="BG4" s="831">
        <f t="shared" si="17"/>
        <v>16342</v>
      </c>
      <c r="BH4" s="832"/>
      <c r="BI4" s="828" t="str">
        <f t="shared" si="18"/>
        <v>179–167</v>
      </c>
      <c r="BJ4" s="829">
        <v>350</v>
      </c>
      <c r="BK4" s="837">
        <v>63000</v>
      </c>
      <c r="BL4" s="831">
        <f t="shared" si="19"/>
        <v>135.81333333333333</v>
      </c>
      <c r="BM4" s="831">
        <f t="shared" si="20"/>
        <v>15465.333333333336</v>
      </c>
      <c r="BN4" s="832"/>
      <c r="BO4" s="873" t="str">
        <f t="shared" si="21"/>
        <v>190–170</v>
      </c>
      <c r="BP4" s="874">
        <v>349</v>
      </c>
      <c r="BQ4" s="877">
        <v>66409.75</v>
      </c>
      <c r="BR4" s="876">
        <f t="shared" si="22"/>
        <v>121.87582781456953</v>
      </c>
      <c r="BS4" s="876">
        <f t="shared" si="23"/>
        <v>23875.086092715232</v>
      </c>
    </row>
    <row r="5" spans="1:71" x14ac:dyDescent="0.2">
      <c r="A5" s="838"/>
      <c r="B5" s="827"/>
      <c r="C5" s="839"/>
      <c r="D5" s="827"/>
      <c r="E5" s="839"/>
      <c r="F5" s="838"/>
      <c r="G5" s="838"/>
      <c r="H5" s="838"/>
      <c r="I5" s="838"/>
      <c r="J5" s="838"/>
      <c r="K5" s="838"/>
      <c r="L5" s="838"/>
      <c r="M5" s="827"/>
      <c r="N5" s="827"/>
      <c r="O5" s="827"/>
      <c r="P5" s="827"/>
      <c r="Q5" s="838"/>
      <c r="R5" s="827"/>
      <c r="S5" s="838"/>
      <c r="T5" s="827"/>
      <c r="U5" s="838"/>
      <c r="V5" s="838"/>
      <c r="W5" s="838"/>
      <c r="Y5" s="828" t="str">
        <f t="shared" si="0"/>
        <v>125–117</v>
      </c>
      <c r="Z5" s="829">
        <v>400</v>
      </c>
      <c r="AA5" s="830">
        <v>50000</v>
      </c>
      <c r="AB5" s="831">
        <f t="shared" si="1"/>
        <v>96.8</v>
      </c>
      <c r="AC5" s="831">
        <f t="shared" si="2"/>
        <v>11280</v>
      </c>
      <c r="AD5" s="832"/>
      <c r="AE5" s="828" t="str">
        <f t="shared" si="3"/>
        <v>151–143</v>
      </c>
      <c r="AF5" s="829">
        <v>450</v>
      </c>
      <c r="AG5" s="830">
        <v>67950</v>
      </c>
      <c r="AH5" s="831">
        <f t="shared" si="4"/>
        <v>118.5</v>
      </c>
      <c r="AI5" s="831">
        <f t="shared" si="5"/>
        <v>14625</v>
      </c>
      <c r="AJ5" s="832"/>
      <c r="AK5" s="828" t="str">
        <f t="shared" si="6"/>
        <v>180–167</v>
      </c>
      <c r="AL5" s="829">
        <v>450</v>
      </c>
      <c r="AM5" s="830">
        <v>81000</v>
      </c>
      <c r="AN5" s="831">
        <f t="shared" si="7"/>
        <v>89</v>
      </c>
      <c r="AO5" s="831">
        <f t="shared" si="8"/>
        <v>40950</v>
      </c>
      <c r="AP5" s="832"/>
      <c r="AQ5" s="828" t="str">
        <f t="shared" si="9"/>
        <v>101–97</v>
      </c>
      <c r="AR5" s="829">
        <v>600</v>
      </c>
      <c r="AS5" s="830">
        <v>60588</v>
      </c>
      <c r="AT5" s="831">
        <f t="shared" si="10"/>
        <v>85.14</v>
      </c>
      <c r="AU5" s="831">
        <f t="shared" si="11"/>
        <v>9504</v>
      </c>
      <c r="AV5" s="832"/>
      <c r="AW5" s="828" t="str">
        <f t="shared" si="12"/>
        <v>162–146</v>
      </c>
      <c r="AX5" s="829">
        <v>600</v>
      </c>
      <c r="AY5" s="830">
        <v>97200</v>
      </c>
      <c r="AZ5" s="831">
        <f t="shared" si="13"/>
        <v>98</v>
      </c>
      <c r="BA5" s="831">
        <f t="shared" si="14"/>
        <v>38400</v>
      </c>
      <c r="BB5" s="832"/>
      <c r="BC5" s="828" t="str">
        <f t="shared" si="15"/>
        <v>127–125</v>
      </c>
      <c r="BD5" s="829">
        <v>700</v>
      </c>
      <c r="BE5" s="830">
        <v>89358</v>
      </c>
      <c r="BF5" s="831">
        <f t="shared" si="16"/>
        <v>121.28400000000001</v>
      </c>
      <c r="BG5" s="831">
        <f t="shared" si="17"/>
        <v>4459.1999999999971</v>
      </c>
      <c r="BH5" s="832"/>
      <c r="BI5" s="828" t="str">
        <f t="shared" si="18"/>
        <v>166–161</v>
      </c>
      <c r="BJ5" s="829">
        <v>500</v>
      </c>
      <c r="BK5" s="830">
        <v>83372</v>
      </c>
      <c r="BL5" s="831">
        <f t="shared" si="19"/>
        <v>140.02000000000001</v>
      </c>
      <c r="BM5" s="831">
        <f t="shared" si="20"/>
        <v>13362</v>
      </c>
      <c r="BN5" s="832"/>
      <c r="BO5" s="873" t="str">
        <f t="shared" si="21"/>
        <v>169–159</v>
      </c>
      <c r="BP5" s="874">
        <v>500</v>
      </c>
      <c r="BQ5" s="875">
        <v>84813</v>
      </c>
      <c r="BR5" s="876">
        <f t="shared" si="22"/>
        <v>122.67849999999996</v>
      </c>
      <c r="BS5" s="876">
        <f t="shared" si="23"/>
        <v>23473.750000000022</v>
      </c>
    </row>
    <row r="6" spans="1:71" x14ac:dyDescent="0.2">
      <c r="A6" s="840" t="s">
        <v>956</v>
      </c>
      <c r="B6" s="827"/>
      <c r="C6" s="841">
        <f>'2100 E-SCLE'!G15</f>
        <v>550</v>
      </c>
      <c r="D6" s="827"/>
      <c r="E6" s="842">
        <f ca="1">ROUND(((VLOOKUP(C6,INDIRECT((A6&amp;"Brackets")),3,1)*C6)+VLOOKUP(C6,INDIRECT((A6&amp;"Brackets")),4,1)),0)</f>
        <v>64520</v>
      </c>
      <c r="F6" s="843" t="b">
        <f>OR(C6=0,C6&gt;=350,C6=SUM(C6:C9))</f>
        <v>1</v>
      </c>
      <c r="G6" s="844">
        <f ca="1">IF(F11,IF((C6&gt;0),ROUND(((VLOOKUP(C6,INDIRECT((G4&amp;"Brackets")),3,1)*C6)+VLOOKUP(C6,INDIRECT((G4&amp;"Brackets")),4,1)),0),0),"")</f>
        <v>64520</v>
      </c>
      <c r="H6" s="844">
        <f ca="1">IF(F11,IF((C6&gt;0),ROUND(((VLOOKUP(C6,INDIRECT((H4&amp;"Brackets")),3,1)*C6)+VLOOKUP(C6,INDIRECT((H4&amp;"Brackets")),4,1)),0),0),"")</f>
        <v>79800</v>
      </c>
      <c r="I6" s="844">
        <f ca="1">IF(F11,IF((C6&gt;0),ROUND(((VLOOKUP(C6,INDIRECT((I4&amp;"Brackets")),3,1)*C6)+VLOOKUP(C6,INDIRECT((I4&amp;"Brackets")),4,1)),0),0),"")</f>
        <v>91777</v>
      </c>
      <c r="J6" s="844">
        <f ca="1">IF(F11,IF((C6&gt;0),ROUND(((VLOOKUP(C6,INDIRECT((J4&amp;"Brackets")),3,1)*C6)+VLOOKUP(C6,INDIRECT((J4&amp;"Brackets")),4,1)),0),0),"")</f>
        <v>56741</v>
      </c>
      <c r="K6" s="844">
        <f ca="1">IF(F11,IF((C6&gt;0),ROUND(((VLOOKUP(C6,INDIRECT((K4&amp;"Brackets")),3,1)*C6)+VLOOKUP(C6,INDIRECT((K4&amp;"Brackets")),4,1)),0),0),"")</f>
        <v>89800</v>
      </c>
      <c r="L6" s="827"/>
      <c r="M6" s="827"/>
      <c r="N6" s="1027" t="str">
        <f>IF(F11,"",ROUND(((VLOOKUP(SUM(C6:C7),EMBrackets,3,1)*SUM(C6:C7))+VLOOKUP(SUM(C6:C7),EMBrackets,4,1)),0))</f>
        <v/>
      </c>
      <c r="O6" s="827"/>
      <c r="P6" s="1028" t="str">
        <f>IF(F11,"",ROUND(((VLOOKUP(SUM(C6:C9),EMHBrackets,3,1)*SUM(C6:C9))+VLOOKUP(SUM(C6:C9),EMHBrackets,4,1)),0))</f>
        <v/>
      </c>
      <c r="Q6" s="845" t="str">
        <f>IF(F11,"",IF((C6=0),0,(E6/E11)))</f>
        <v/>
      </c>
      <c r="R6" s="827" t="str">
        <f>IF(F11,"","×")</f>
        <v/>
      </c>
      <c r="S6" s="844" t="str">
        <f>IF(F11,"",IF((C6=0),0,E14))</f>
        <v/>
      </c>
      <c r="T6" s="827" t="str">
        <f>IF(F11,"","=")</f>
        <v/>
      </c>
      <c r="U6" s="844" t="str">
        <f>IF(F11,"",IF((C6=0),0,(Q6*S6)))</f>
        <v/>
      </c>
      <c r="V6" s="846">
        <f ca="1">IF((U6=""),E6,U6)*(1-IF((L13=""),0,L13))</f>
        <v>64520</v>
      </c>
      <c r="W6" s="827">
        <f ca="1">IF((C6=0),0,(V6/C6))</f>
        <v>117.30909090909091</v>
      </c>
      <c r="Y6" s="828" t="str">
        <f t="shared" si="0"/>
        <v>117–116</v>
      </c>
      <c r="Z6" s="829">
        <v>550</v>
      </c>
      <c r="AA6" s="830">
        <v>64520</v>
      </c>
      <c r="AB6" s="831">
        <f t="shared" si="1"/>
        <v>109.33333333333333</v>
      </c>
      <c r="AC6" s="831">
        <f t="shared" si="2"/>
        <v>4386.6666666666715</v>
      </c>
      <c r="AD6" s="832"/>
      <c r="AE6" s="828" t="str">
        <f t="shared" si="3"/>
        <v>143–141</v>
      </c>
      <c r="AF6" s="829">
        <v>600</v>
      </c>
      <c r="AG6" s="830">
        <v>85725</v>
      </c>
      <c r="AH6" s="831">
        <f t="shared" si="4"/>
        <v>133.5</v>
      </c>
      <c r="AI6" s="831">
        <f t="shared" si="5"/>
        <v>5625</v>
      </c>
      <c r="AJ6" s="832"/>
      <c r="AK6" s="828" t="str">
        <f t="shared" si="6"/>
        <v>167–166</v>
      </c>
      <c r="AL6" s="829">
        <v>525</v>
      </c>
      <c r="AM6" s="830">
        <v>87675</v>
      </c>
      <c r="AN6" s="831">
        <f t="shared" si="7"/>
        <v>164.09090909090909</v>
      </c>
      <c r="AO6" s="831">
        <f t="shared" si="8"/>
        <v>1527.2727272727207</v>
      </c>
      <c r="AP6" s="832"/>
      <c r="AQ6" s="828" t="str">
        <f t="shared" si="9"/>
        <v>97–95</v>
      </c>
      <c r="AR6" s="829">
        <v>800</v>
      </c>
      <c r="AS6" s="830">
        <v>77616</v>
      </c>
      <c r="AT6" s="831">
        <f t="shared" si="10"/>
        <v>86.92</v>
      </c>
      <c r="AU6" s="831">
        <f t="shared" si="11"/>
        <v>8080</v>
      </c>
      <c r="AV6" s="832"/>
      <c r="AW6" s="828" t="str">
        <f t="shared" si="12"/>
        <v>146–136</v>
      </c>
      <c r="AX6" s="829">
        <v>800</v>
      </c>
      <c r="AY6" s="830">
        <v>116800</v>
      </c>
      <c r="AZ6" s="831">
        <f t="shared" si="13"/>
        <v>96</v>
      </c>
      <c r="BA6" s="831">
        <f t="shared" si="14"/>
        <v>40000</v>
      </c>
      <c r="BB6" s="832"/>
      <c r="BC6" s="828" t="str">
        <f t="shared" si="15"/>
        <v>125–125</v>
      </c>
      <c r="BD6" s="829">
        <v>1200</v>
      </c>
      <c r="BE6" s="830">
        <v>150000</v>
      </c>
      <c r="BF6" s="831">
        <f t="shared" si="16"/>
        <v>125</v>
      </c>
      <c r="BG6" s="831">
        <f t="shared" si="17"/>
        <v>0</v>
      </c>
      <c r="BH6" s="832"/>
      <c r="BI6" s="828" t="str">
        <f t="shared" si="18"/>
        <v>160–157</v>
      </c>
      <c r="BJ6" s="829">
        <v>650</v>
      </c>
      <c r="BK6" s="830">
        <v>104375</v>
      </c>
      <c r="BL6" s="831">
        <f t="shared" si="19"/>
        <v>146.80000000000001</v>
      </c>
      <c r="BM6" s="831">
        <f t="shared" si="20"/>
        <v>8954.9999999999854</v>
      </c>
      <c r="BN6" s="832"/>
      <c r="BO6" s="873" t="str">
        <f t="shared" si="21"/>
        <v>159–146</v>
      </c>
      <c r="BP6" s="874">
        <v>650</v>
      </c>
      <c r="BQ6" s="875">
        <v>103214.77499999999</v>
      </c>
      <c r="BR6" s="876">
        <f t="shared" si="22"/>
        <v>90.834833333333378</v>
      </c>
      <c r="BS6" s="876">
        <f t="shared" si="23"/>
        <v>44172.133333333295</v>
      </c>
    </row>
    <row r="7" spans="1:71" x14ac:dyDescent="0.2">
      <c r="A7" s="847" t="s">
        <v>957</v>
      </c>
      <c r="B7" s="827"/>
      <c r="C7" s="841"/>
      <c r="D7" s="827"/>
      <c r="E7" s="842">
        <f ca="1">ROUND(((VLOOKUP(C7,INDIRECT((A7&amp;"Brackets")),3,1)*C7)+VLOOKUP(C7,INDIRECT((A7&amp;"Brackets")),4,1)),0)</f>
        <v>0</v>
      </c>
      <c r="F7" s="843" t="b">
        <f>OR(C7=0,C7&gt;=350,C7=SUM(C6:C9))</f>
        <v>1</v>
      </c>
      <c r="G7" s="844">
        <f ca="1">IF(F11,IF((C7&gt;0),ROUND(((VLOOKUP(C7,INDIRECT((G4&amp;"Brackets")),3,1)*C7)+VLOOKUP(C7,INDIRECT((G4&amp;"Brackets")),4,1)),0),0),"")</f>
        <v>0</v>
      </c>
      <c r="H7" s="844">
        <f ca="1">IF(F11,IF((C7&gt;0),ROUND(((VLOOKUP(C7,INDIRECT((H4&amp;"Brackets")),3,1)*C7)+VLOOKUP(C7,INDIRECT((H4&amp;"Brackets")),4,1)),0),0),"")</f>
        <v>0</v>
      </c>
      <c r="I7" s="844">
        <f ca="1">IF(F11,IF((C7&gt;0),ROUND(((VLOOKUP(C7,INDIRECT((I4&amp;"Brackets")),3,1)*C7)+VLOOKUP(C7,INDIRECT((I4&amp;"Brackets")),4,1)),0),0),"")</f>
        <v>0</v>
      </c>
      <c r="J7" s="844">
        <f ca="1">IF(F11,IF((C7&gt;0),ROUND(((VLOOKUP(C7,INDIRECT((J4&amp;"Brackets")),3,1)*C7)+VLOOKUP(C7,INDIRECT((J4&amp;"Brackets")),4,1)),0),0),"")</f>
        <v>0</v>
      </c>
      <c r="K7" s="844">
        <f ca="1">IF(F11,IF((C7&gt;0),ROUND(((VLOOKUP(C7,INDIRECT((K4&amp;"Brackets")),3,1)*C7)+VLOOKUP(C7,INDIRECT((K4&amp;"Brackets")),4,1)),0),0),"")</f>
        <v>0</v>
      </c>
      <c r="L7" s="827"/>
      <c r="M7" s="827"/>
      <c r="N7" s="1027"/>
      <c r="O7" s="1029" t="str">
        <f>IF(F11,"",ROUND(((VLOOKUP(SUM(C7:C9),MHBrackets,3,1)*SUM(C7:C9))+VLOOKUP(SUM(C7:C9),MHBrackets,4,1)),0))</f>
        <v/>
      </c>
      <c r="P7" s="1028"/>
      <c r="Q7" s="845" t="str">
        <f>IF(F11,"",IF((C7=0),0,(E7/E11)))</f>
        <v/>
      </c>
      <c r="R7" s="827" t="str">
        <f>IF(F11,"","×")</f>
        <v/>
      </c>
      <c r="S7" s="844" t="str">
        <f>IF(F11,"",IF((C7=0),0,E14))</f>
        <v/>
      </c>
      <c r="T7" s="827" t="str">
        <f>IF(F11,"","=")</f>
        <v/>
      </c>
      <c r="U7" s="844" t="str">
        <f>IF(F11,"",IF((C7=0),0,(Q7*S7)))</f>
        <v/>
      </c>
      <c r="V7" s="846">
        <f ca="1">IF((U7=""),E7,U7)*(1-IF((L13=""),0,L13))</f>
        <v>0</v>
      </c>
      <c r="W7" s="827">
        <f>IF((C7=0),0,(V7/C7))</f>
        <v>0</v>
      </c>
      <c r="Y7" s="828" t="str">
        <f t="shared" si="0"/>
        <v>115–109</v>
      </c>
      <c r="Z7" s="829">
        <v>700</v>
      </c>
      <c r="AA7" s="830">
        <v>80920</v>
      </c>
      <c r="AB7" s="831">
        <f t="shared" si="1"/>
        <v>94.143333333333331</v>
      </c>
      <c r="AC7" s="831">
        <f t="shared" si="2"/>
        <v>15019.666666666672</v>
      </c>
      <c r="AD7" s="832"/>
      <c r="AE7" s="828" t="str">
        <f t="shared" si="3"/>
        <v>141–140</v>
      </c>
      <c r="AF7" s="829">
        <v>750</v>
      </c>
      <c r="AG7" s="830">
        <v>105750</v>
      </c>
      <c r="AH7" s="831">
        <f t="shared" si="4"/>
        <v>138.47999999999999</v>
      </c>
      <c r="AI7" s="831">
        <f t="shared" si="5"/>
        <v>1890.0000000000146</v>
      </c>
      <c r="AJ7" s="832"/>
      <c r="AK7" s="828" t="str">
        <f t="shared" si="6"/>
        <v>166–165</v>
      </c>
      <c r="AL7" s="829">
        <v>800</v>
      </c>
      <c r="AM7" s="830">
        <v>132800</v>
      </c>
      <c r="AN7" s="831">
        <f t="shared" si="7"/>
        <v>163</v>
      </c>
      <c r="AO7" s="831">
        <f t="shared" si="8"/>
        <v>2400</v>
      </c>
      <c r="AP7" s="832"/>
      <c r="AQ7" s="828" t="str">
        <f t="shared" si="9"/>
        <v>95–95</v>
      </c>
      <c r="AR7" s="829">
        <v>1000</v>
      </c>
      <c r="AS7" s="830">
        <v>95000</v>
      </c>
      <c r="AT7" s="831">
        <f t="shared" si="10"/>
        <v>95</v>
      </c>
      <c r="AU7" s="831">
        <f t="shared" si="11"/>
        <v>0</v>
      </c>
      <c r="AV7" s="832"/>
      <c r="AW7" s="828" t="str">
        <f t="shared" si="12"/>
        <v>136–136</v>
      </c>
      <c r="AX7" s="829">
        <v>1000</v>
      </c>
      <c r="AY7" s="830">
        <v>136000</v>
      </c>
      <c r="AZ7" s="831">
        <f t="shared" si="13"/>
        <v>136</v>
      </c>
      <c r="BA7" s="831">
        <f t="shared" si="14"/>
        <v>0</v>
      </c>
      <c r="BB7" s="832"/>
      <c r="BC7" s="828" t="str">
        <f t="shared" si="15"/>
        <v>125</v>
      </c>
      <c r="BD7" s="829">
        <v>5000</v>
      </c>
      <c r="BE7" s="830">
        <v>625000</v>
      </c>
      <c r="BF7" s="831">
        <f t="shared" si="16"/>
        <v>125</v>
      </c>
      <c r="BG7" s="831">
        <f t="shared" si="17"/>
        <v>0</v>
      </c>
      <c r="BH7" s="832"/>
      <c r="BI7" s="828" t="str">
        <f t="shared" si="18"/>
        <v>157–154</v>
      </c>
      <c r="BJ7" s="829">
        <v>900</v>
      </c>
      <c r="BK7" s="830">
        <v>141075</v>
      </c>
      <c r="BL7" s="831">
        <f t="shared" si="19"/>
        <v>149.05000000000001</v>
      </c>
      <c r="BM7" s="831">
        <f t="shared" si="20"/>
        <v>6930</v>
      </c>
      <c r="BN7" s="832"/>
      <c r="BO7" s="873" t="str">
        <f t="shared" si="21"/>
        <v>146–140</v>
      </c>
      <c r="BP7" s="874">
        <v>800</v>
      </c>
      <c r="BQ7" s="875">
        <v>116840</v>
      </c>
      <c r="BR7" s="876">
        <f t="shared" si="22"/>
        <v>105.72466666666655</v>
      </c>
      <c r="BS7" s="876">
        <f t="shared" si="23"/>
        <v>32260.266666666765</v>
      </c>
    </row>
    <row r="8" spans="1:71" x14ac:dyDescent="0.2">
      <c r="A8" s="848" t="s">
        <v>958</v>
      </c>
      <c r="B8" s="827"/>
      <c r="C8" s="841"/>
      <c r="D8" s="827"/>
      <c r="E8" s="842">
        <f ca="1">((ROUND(((VLOOKUP(SUM(C8:C9),INDIRECT((A8&amp;"Brackets")),3,1)*SUM(C8:C9))+VLOOKUP(SUM(C8:C9),INDIRECT((A8&amp;"Brackets")),4,1)),0))/IF((SUM(C8:C9)=0),1,SUM(C8:C9)))*C8</f>
        <v>0</v>
      </c>
      <c r="F8" s="843" t="b">
        <f>OR(SUM(C8:C9)=0,SUM(C8:C9)&gt;=350,SUM(C8:C9)=SUM(C6:C9))</f>
        <v>1</v>
      </c>
      <c r="G8" s="844">
        <f ca="1">IF(F11,IF((SUM(C8:C9)&gt;0),(((ROUND(((VLOOKUP(SUM(C8:C9),INDIRECT((G4&amp;"Brackets")),3,1)*SUM(C8:C9))+VLOOKUP(SUM(C8:C9),INDIRECT((G4&amp;"Brackets")),4,1)),0))/SUM(C8:C9))*C8),0),"")</f>
        <v>0</v>
      </c>
      <c r="H8" s="844">
        <f ca="1">IF(F11,IF((SUM(C8:C9)&gt;0),(((ROUND(((VLOOKUP(SUM(C8:C9),INDIRECT((H4&amp;"Brackets")),3,1)*SUM(C8:C9))+VLOOKUP(SUM(C8:C9),INDIRECT((H4&amp;"Brackets")),4,1)),0))/SUM(C8:C9))*C8),0),"")</f>
        <v>0</v>
      </c>
      <c r="I8" s="844">
        <f ca="1">IF(F11,IF((SUM(C8:C9)&gt;0),(((ROUND(((VLOOKUP(SUM(C8:C9),INDIRECT((I4&amp;"Brackets")),3,1)*SUM(C8:C9))+VLOOKUP(SUM(C8:C9),INDIRECT((I4&amp;"Brackets")),4,1)),0))/SUM(C8:C9))*C8),0),"")</f>
        <v>0</v>
      </c>
      <c r="J8" s="844">
        <f ca="1">IF(F11,IF((SUM(C8:C9)&gt;0),(((ROUND(((VLOOKUP(SUM(C8:C9),INDIRECT((J4&amp;"Brackets")),3,1)*SUM(C8:C9))+VLOOKUP(SUM(C8:C9),INDIRECT((J4&amp;"Brackets")),4,1)),0))/SUM(C8:C9))*C8),0),"")</f>
        <v>0</v>
      </c>
      <c r="K8" s="844">
        <f ca="1">IF(F11,IF((SUM(C8:C9)&gt;0),(((ROUND(((VLOOKUP(SUM(C8:C9),INDIRECT((K4&amp;"Brackets")),3,1)*SUM(C8:C9))+VLOOKUP(SUM(C8:C9),INDIRECT((K4&amp;"Brackets")),4,1)),0))/SUM(C8:C9))*C8),0),"")</f>
        <v>0</v>
      </c>
      <c r="L8" s="827"/>
      <c r="M8" s="827"/>
      <c r="N8" s="827"/>
      <c r="O8" s="1029"/>
      <c r="P8" s="1029"/>
      <c r="Q8" s="845" t="str">
        <f>IF(F11,"",IF((C8=0),0,(E8/E11)))</f>
        <v/>
      </c>
      <c r="R8" s="827" t="str">
        <f>IF(F11,"","×")</f>
        <v/>
      </c>
      <c r="S8" s="844" t="str">
        <f>IF(F11,"",IF((C8=0),0,E14))</f>
        <v/>
      </c>
      <c r="T8" s="827" t="str">
        <f>IF(F11,"","=")</f>
        <v/>
      </c>
      <c r="U8" s="844" t="str">
        <f>IF(F11,"",IF((C8=0),0,(Q8*S8)))</f>
        <v/>
      </c>
      <c r="V8" s="846">
        <f ca="1">IF((U8=""),E8,U8)*(1-IF((L13=""),0,L13))</f>
        <v>0</v>
      </c>
      <c r="W8" s="827">
        <f>IF((C8=0),0,(V8/C8))</f>
        <v>0</v>
      </c>
      <c r="Y8" s="828" t="str">
        <f t="shared" si="0"/>
        <v>109–106</v>
      </c>
      <c r="Z8" s="829">
        <v>1000</v>
      </c>
      <c r="AA8" s="830">
        <v>109163</v>
      </c>
      <c r="AB8" s="831">
        <f t="shared" si="1"/>
        <v>99.45</v>
      </c>
      <c r="AC8" s="831">
        <f t="shared" si="2"/>
        <v>9713</v>
      </c>
      <c r="AD8" s="832"/>
      <c r="AE8" s="828" t="str">
        <f t="shared" si="3"/>
        <v>140–128</v>
      </c>
      <c r="AF8" s="829">
        <v>1000</v>
      </c>
      <c r="AG8" s="830">
        <v>140370</v>
      </c>
      <c r="AH8" s="831">
        <f t="shared" si="4"/>
        <v>102.744</v>
      </c>
      <c r="AI8" s="831">
        <f t="shared" si="5"/>
        <v>37626</v>
      </c>
      <c r="AJ8" s="832"/>
      <c r="AK8" s="828" t="str">
        <f t="shared" si="6"/>
        <v>165–162</v>
      </c>
      <c r="AL8" s="829">
        <v>1200</v>
      </c>
      <c r="AM8" s="830">
        <v>198000</v>
      </c>
      <c r="AN8" s="831">
        <f t="shared" si="7"/>
        <v>153</v>
      </c>
      <c r="AO8" s="831">
        <f t="shared" si="8"/>
        <v>14400</v>
      </c>
      <c r="AP8" s="832"/>
      <c r="AQ8" s="828" t="str">
        <f t="shared" si="9"/>
        <v>95</v>
      </c>
      <c r="AR8" s="829">
        <v>5000</v>
      </c>
      <c r="AS8" s="830">
        <v>475000</v>
      </c>
      <c r="AT8" s="831">
        <f t="shared" si="10"/>
        <v>95</v>
      </c>
      <c r="AU8" s="831">
        <f t="shared" si="11"/>
        <v>0</v>
      </c>
      <c r="AV8" s="832"/>
      <c r="AW8" s="828" t="str">
        <f t="shared" si="12"/>
        <v>136</v>
      </c>
      <c r="AX8" s="829">
        <v>5000</v>
      </c>
      <c r="AY8" s="830">
        <v>680000</v>
      </c>
      <c r="AZ8" s="831">
        <f t="shared" si="13"/>
        <v>136</v>
      </c>
      <c r="BA8" s="831">
        <f t="shared" si="14"/>
        <v>0</v>
      </c>
      <c r="BB8" s="832"/>
      <c r="BC8" s="828" t="str">
        <f t="shared" si="15"/>
        <v/>
      </c>
      <c r="BD8" s="829"/>
      <c r="BE8" s="830"/>
      <c r="BF8" s="831" t="str">
        <f t="shared" si="16"/>
        <v/>
      </c>
      <c r="BG8" s="831" t="str">
        <f t="shared" si="17"/>
        <v/>
      </c>
      <c r="BH8" s="832"/>
      <c r="BI8" s="828" t="str">
        <f t="shared" si="18"/>
        <v>154–154</v>
      </c>
      <c r="BJ8" s="829">
        <v>1400</v>
      </c>
      <c r="BK8" s="830">
        <v>215600</v>
      </c>
      <c r="BL8" s="831">
        <f t="shared" si="19"/>
        <v>154</v>
      </c>
      <c r="BM8" s="831">
        <f t="shared" si="20"/>
        <v>0</v>
      </c>
      <c r="BN8" s="832"/>
      <c r="BO8" s="873" t="str">
        <f t="shared" si="21"/>
        <v>140–136</v>
      </c>
      <c r="BP8" s="874">
        <v>950</v>
      </c>
      <c r="BQ8" s="875">
        <v>132698.69999999998</v>
      </c>
      <c r="BR8" s="876">
        <f t="shared" si="22"/>
        <v>135.208</v>
      </c>
      <c r="BS8" s="876">
        <f t="shared" si="23"/>
        <v>4251.0999999999913</v>
      </c>
    </row>
    <row r="9" spans="1:71" x14ac:dyDescent="0.2">
      <c r="A9" s="848" t="s">
        <v>972</v>
      </c>
      <c r="B9" s="827"/>
      <c r="C9" s="841"/>
      <c r="D9" s="827"/>
      <c r="E9" s="842">
        <f ca="1">((ROUND(((VLOOKUP(SUM(C8:C9),INDIRECT((A9&amp;"Brackets")),3,1)*SUM(C8:C9))+VLOOKUP(SUM(C8:C9),INDIRECT((A9&amp;"Brackets")),4,1)),0))/IF((SUM(C8:C9)=0),1,SUM(C8:C9)))*C9</f>
        <v>0</v>
      </c>
      <c r="F9" s="843" t="b">
        <f>OR(SUM(C8:C9)=0,SUM(C8:C9)&gt;=350,SUM(C8:C9)=SUM(C6:C9))</f>
        <v>1</v>
      </c>
      <c r="G9" s="844">
        <f ca="1">IF(F11,IF((SUM(C8:C9)&gt;0),(((ROUND(((VLOOKUP(SUM(C8:C9),INDIRECT((G4&amp;"Brackets")),3,1)*SUM(C8:C9))+VLOOKUP(SUM(C8:C9),INDIRECT((G4&amp;"Brackets")),4,1)),0))/SUM(C8:C9))*C9),0),"")</f>
        <v>0</v>
      </c>
      <c r="H9" s="844">
        <f ca="1">IF(F11,IF((SUM(C8:C9)&gt;0),(((ROUND(((VLOOKUP(SUM(C8:C9),INDIRECT((H4&amp;"Brackets")),3,1)*SUM(C8:C9))+VLOOKUP(SUM(C8:C9),INDIRECT((H4&amp;"Brackets")),4,1)),0))/SUM(C8:C9))*C9),0),"")</f>
        <v>0</v>
      </c>
      <c r="I9" s="844">
        <f ca="1">IF(F11,IF((SUM(C8:C9)&gt;0),(((ROUND(((VLOOKUP(SUM(C8:C9),INDIRECT((I4&amp;"Brackets")),3,1)*SUM(C8:C9))+VLOOKUP(SUM(C8:C9),INDIRECT((I4&amp;"Brackets")),4,1)),0))/SUM(C8:C9))*C9),0),"")</f>
        <v>0</v>
      </c>
      <c r="J9" s="844">
        <f ca="1">IF(F11,IF((SUM(C8:C9)&gt;0),(((ROUND(((VLOOKUP(SUM(C8:C9),INDIRECT((J4&amp;"Brackets")),3,1)*SUM(C8:C9))+VLOOKUP(SUM(C8:C9),INDIRECT((J4&amp;"Brackets")),4,1)),0))/SUM(C8:C9))*C9),0),"")</f>
        <v>0</v>
      </c>
      <c r="K9" s="844">
        <f ca="1">IF(F11,IF((SUM(C8:C9)&gt;0),(((ROUND(((VLOOKUP(SUM(C8:C9),INDIRECT((K4&amp;"Brackets")),3,1)*SUM(C8:C9))+VLOOKUP(SUM(C8:C9),INDIRECT((K4&amp;"Brackets")),4,1)),0))/SUM(C8:C9))*C9),0),"")</f>
        <v>0</v>
      </c>
      <c r="L9" s="827"/>
      <c r="M9" s="827"/>
      <c r="N9" s="827"/>
      <c r="O9" s="1029"/>
      <c r="P9" s="1029"/>
      <c r="Q9" s="845" t="str">
        <f>IF(F11,"",IF((C9=0),0,(E9/E11)))</f>
        <v/>
      </c>
      <c r="R9" s="827" t="str">
        <f>IF(F11,"","×")</f>
        <v/>
      </c>
      <c r="S9" s="844" t="str">
        <f>IF(F11,"",IF((C9=0),0,E14))</f>
        <v/>
      </c>
      <c r="T9" s="827" t="str">
        <f>IF(F11,"","=")</f>
        <v/>
      </c>
      <c r="U9" s="844" t="str">
        <f>IF(F11,"",IF((C9=0),0,(Q9*S9)))</f>
        <v/>
      </c>
      <c r="V9" s="846">
        <f ca="1">IF((U9=""),E9,U9)*(1-IF((L13=""),0,L13))</f>
        <v>0</v>
      </c>
      <c r="W9" s="827">
        <f>IF((C9=0),0,(V9/C9))</f>
        <v>0</v>
      </c>
      <c r="Y9" s="828" t="str">
        <f t="shared" si="0"/>
        <v>106–104</v>
      </c>
      <c r="Z9" s="829">
        <v>1500</v>
      </c>
      <c r="AA9" s="830">
        <v>158888</v>
      </c>
      <c r="AB9" s="831">
        <f t="shared" si="1"/>
        <v>98.99</v>
      </c>
      <c r="AC9" s="831">
        <f t="shared" si="2"/>
        <v>10403</v>
      </c>
      <c r="AD9" s="832"/>
      <c r="AE9" s="828" t="str">
        <f t="shared" si="3"/>
        <v>128–119</v>
      </c>
      <c r="AF9" s="829">
        <v>1500</v>
      </c>
      <c r="AG9" s="830">
        <v>191742</v>
      </c>
      <c r="AH9" s="831">
        <f t="shared" si="4"/>
        <v>94.331999999999994</v>
      </c>
      <c r="AI9" s="831">
        <f t="shared" si="5"/>
        <v>50244</v>
      </c>
      <c r="AJ9" s="832"/>
      <c r="AK9" s="828" t="str">
        <f t="shared" si="6"/>
        <v>162–156</v>
      </c>
      <c r="AL9" s="829">
        <v>1600</v>
      </c>
      <c r="AM9" s="830">
        <v>259200</v>
      </c>
      <c r="AN9" s="831">
        <f t="shared" si="7"/>
        <v>144</v>
      </c>
      <c r="AO9" s="831">
        <f t="shared" si="8"/>
        <v>28800</v>
      </c>
      <c r="AP9" s="832"/>
      <c r="AQ9" s="828" t="str">
        <f t="shared" si="9"/>
        <v/>
      </c>
      <c r="AR9" s="829"/>
      <c r="AS9" s="830"/>
      <c r="AT9" s="831" t="str">
        <f t="shared" si="10"/>
        <v/>
      </c>
      <c r="AU9" s="831" t="str">
        <f t="shared" si="11"/>
        <v/>
      </c>
      <c r="AV9" s="832"/>
      <c r="AW9" s="828" t="str">
        <f t="shared" si="12"/>
        <v/>
      </c>
      <c r="AX9" s="829"/>
      <c r="AY9" s="830"/>
      <c r="AZ9" s="831" t="str">
        <f t="shared" si="13"/>
        <v/>
      </c>
      <c r="BA9" s="831" t="str">
        <f t="shared" si="14"/>
        <v/>
      </c>
      <c r="BB9" s="832"/>
      <c r="BC9" s="828" t="str">
        <f t="shared" si="15"/>
        <v/>
      </c>
      <c r="BD9" s="829"/>
      <c r="BE9" s="830"/>
      <c r="BF9" s="831" t="str">
        <f t="shared" si="16"/>
        <v/>
      </c>
      <c r="BG9" s="831" t="str">
        <f t="shared" si="17"/>
        <v/>
      </c>
      <c r="BH9" s="832"/>
      <c r="BI9" s="828" t="str">
        <f t="shared" si="18"/>
        <v>154</v>
      </c>
      <c r="BJ9" s="829">
        <v>5000</v>
      </c>
      <c r="BK9" s="830">
        <v>770000</v>
      </c>
      <c r="BL9" s="831">
        <f t="shared" si="19"/>
        <v>154</v>
      </c>
      <c r="BM9" s="831">
        <f t="shared" si="20"/>
        <v>0</v>
      </c>
      <c r="BN9" s="832"/>
      <c r="BO9" s="873" t="str">
        <f t="shared" si="21"/>
        <v>136</v>
      </c>
      <c r="BP9" s="874">
        <v>5000</v>
      </c>
      <c r="BQ9" s="875">
        <v>680291.1</v>
      </c>
      <c r="BR9" s="876">
        <f t="shared" si="22"/>
        <v>136.05822000000001</v>
      </c>
      <c r="BS9" s="876">
        <f t="shared" si="23"/>
        <v>0</v>
      </c>
    </row>
    <row r="10" spans="1:71" ht="12.75" customHeight="1" thickBot="1" x14ac:dyDescent="0.25">
      <c r="A10" s="849" t="s">
        <v>973</v>
      </c>
      <c r="B10" s="850" t="s">
        <v>974</v>
      </c>
      <c r="C10" s="851"/>
      <c r="D10" s="850" t="s">
        <v>974</v>
      </c>
      <c r="E10" s="852"/>
      <c r="F10" s="852"/>
      <c r="G10" s="833"/>
      <c r="H10" s="833"/>
      <c r="I10" s="833"/>
      <c r="J10" s="833"/>
      <c r="K10" s="833"/>
      <c r="L10" s="833"/>
      <c r="M10" s="853"/>
      <c r="N10" s="853"/>
      <c r="O10" s="853"/>
      <c r="P10" s="853"/>
      <c r="Q10" s="833"/>
      <c r="R10" s="853"/>
      <c r="S10" s="833"/>
      <c r="T10" s="853"/>
      <c r="U10" s="833"/>
      <c r="V10" s="854">
        <f ca="1">((ROUND(((VLOOKUP(SUM(C8:C9),INDIRECT((A10&amp;"Brackets")),3,1)*SUM(C8:C9))+VLOOKUP(SUM(C8:C9),INDIRECT((A10&amp;"Brackets")),4,1)),0))/IF((SUM(C8:C9)=0),1,SUM(C8:C9)))*C9</f>
        <v>0</v>
      </c>
      <c r="W10" s="855">
        <f>IF((C9=0),0,(V10/C9))</f>
        <v>0</v>
      </c>
      <c r="Y10" s="828" t="str">
        <f t="shared" si="0"/>
        <v>104–104</v>
      </c>
      <c r="Z10" s="829">
        <v>2000</v>
      </c>
      <c r="AA10" s="830">
        <v>208383</v>
      </c>
      <c r="AB10" s="831">
        <f t="shared" si="1"/>
        <v>104.19066666666667</v>
      </c>
      <c r="AC10" s="831">
        <f t="shared" si="2"/>
        <v>1.6666666666569654</v>
      </c>
      <c r="AD10" s="832"/>
      <c r="AE10" s="828" t="str">
        <f t="shared" si="3"/>
        <v>119–119</v>
      </c>
      <c r="AF10" s="829">
        <v>2000</v>
      </c>
      <c r="AG10" s="837">
        <v>238908</v>
      </c>
      <c r="AH10" s="831">
        <f t="shared" si="4"/>
        <v>119.45399999999999</v>
      </c>
      <c r="AI10" s="831">
        <f t="shared" si="5"/>
        <v>0</v>
      </c>
      <c r="AJ10" s="832"/>
      <c r="AK10" s="828" t="str">
        <f t="shared" si="6"/>
        <v>156–156</v>
      </c>
      <c r="AL10" s="829">
        <v>2400</v>
      </c>
      <c r="AM10" s="830">
        <v>374400</v>
      </c>
      <c r="AN10" s="831">
        <f t="shared" si="7"/>
        <v>156</v>
      </c>
      <c r="AO10" s="831">
        <f t="shared" si="8"/>
        <v>0</v>
      </c>
      <c r="AP10" s="832"/>
      <c r="AQ10" s="828" t="str">
        <f t="shared" si="9"/>
        <v/>
      </c>
      <c r="AR10" s="829"/>
      <c r="AS10" s="830"/>
      <c r="AT10" s="831" t="str">
        <f t="shared" si="10"/>
        <v/>
      </c>
      <c r="AU10" s="831" t="str">
        <f t="shared" si="11"/>
        <v/>
      </c>
      <c r="AV10" s="832"/>
      <c r="AW10" s="828" t="str">
        <f t="shared" si="12"/>
        <v/>
      </c>
      <c r="AX10" s="829"/>
      <c r="AY10" s="830"/>
      <c r="AZ10" s="831" t="str">
        <f t="shared" si="13"/>
        <v/>
      </c>
      <c r="BA10" s="831" t="str">
        <f t="shared" si="14"/>
        <v/>
      </c>
      <c r="BB10" s="832"/>
      <c r="BC10" s="828" t="str">
        <f t="shared" si="15"/>
        <v/>
      </c>
      <c r="BD10" s="829"/>
      <c r="BE10" s="830"/>
      <c r="BF10" s="831" t="str">
        <f t="shared" si="16"/>
        <v/>
      </c>
      <c r="BG10" s="831" t="str">
        <f t="shared" si="17"/>
        <v/>
      </c>
      <c r="BH10" s="832"/>
      <c r="BI10" s="828" t="str">
        <f t="shared" si="18"/>
        <v/>
      </c>
      <c r="BJ10" s="829"/>
      <c r="BK10" s="830"/>
      <c r="BL10" s="831" t="str">
        <f t="shared" si="19"/>
        <v/>
      </c>
      <c r="BM10" s="831" t="str">
        <f t="shared" si="20"/>
        <v/>
      </c>
      <c r="BN10" s="832"/>
      <c r="BO10" s="873" t="str">
        <f t="shared" si="21"/>
        <v/>
      </c>
      <c r="BP10" s="874"/>
      <c r="BQ10" s="875"/>
      <c r="BR10" s="876" t="str">
        <f t="shared" si="22"/>
        <v/>
      </c>
      <c r="BS10" s="876" t="str">
        <f t="shared" si="23"/>
        <v/>
      </c>
    </row>
    <row r="11" spans="1:71" x14ac:dyDescent="0.2">
      <c r="A11" s="856" t="s">
        <v>975</v>
      </c>
      <c r="B11" s="827"/>
      <c r="C11" s="857">
        <f>SUM(C6:C9)</f>
        <v>550</v>
      </c>
      <c r="D11" s="827"/>
      <c r="E11" s="857">
        <f ca="1">IF((C11=""),"",SUM(E6:E9))</f>
        <v>64520</v>
      </c>
      <c r="F11" s="858" t="b">
        <f>AND(F6:F9)</f>
        <v>1</v>
      </c>
      <c r="G11" s="859">
        <f ca="1">IF(F11,SUM(G6:G9),"")</f>
        <v>64520</v>
      </c>
      <c r="H11" s="859">
        <f ca="1">IF(F11,SUM(H6:H9),"")</f>
        <v>79800</v>
      </c>
      <c r="I11" s="859">
        <f ca="1">IF(F11,SUM(I6:I9),"")</f>
        <v>91777</v>
      </c>
      <c r="J11" s="859">
        <f ca="1">IF(F11,SUM(J6:J9),"")</f>
        <v>56741</v>
      </c>
      <c r="K11" s="859">
        <f ca="1">IF(F11,SUM(K6:K9),"")</f>
        <v>89800</v>
      </c>
      <c r="L11" s="859">
        <f ca="1">IF(F11,ROUND((E11*L13),0),"")</f>
        <v>0</v>
      </c>
      <c r="M11" s="860"/>
      <c r="N11" s="853"/>
      <c r="O11" s="853"/>
      <c r="P11" s="853"/>
      <c r="Q11" s="861" t="str">
        <f>IF(F11,"",SUM(Q6:Q9))</f>
        <v/>
      </c>
      <c r="R11" s="860"/>
      <c r="S11" s="858"/>
      <c r="T11" s="860"/>
      <c r="U11" s="859" t="str">
        <f>IF(F11,"",SUM(U6:U9))</f>
        <v/>
      </c>
      <c r="V11" s="838"/>
      <c r="W11" s="838"/>
      <c r="Y11" s="828" t="str">
        <f t="shared" si="0"/>
        <v>104</v>
      </c>
      <c r="Z11" s="829">
        <v>5000</v>
      </c>
      <c r="AA11" s="837">
        <v>520955</v>
      </c>
      <c r="AB11" s="831">
        <f t="shared" si="1"/>
        <v>104.191</v>
      </c>
      <c r="AC11" s="831">
        <f t="shared" si="2"/>
        <v>0</v>
      </c>
      <c r="AD11" s="832"/>
      <c r="AE11" s="828" t="str">
        <f t="shared" si="3"/>
        <v>119</v>
      </c>
      <c r="AF11" s="829">
        <v>5000</v>
      </c>
      <c r="AG11" s="837">
        <v>597270</v>
      </c>
      <c r="AH11" s="831">
        <f t="shared" si="4"/>
        <v>119.45399999999999</v>
      </c>
      <c r="AI11" s="831">
        <f t="shared" si="5"/>
        <v>0</v>
      </c>
      <c r="AJ11" s="832"/>
      <c r="AK11" s="828" t="str">
        <f t="shared" si="6"/>
        <v>156</v>
      </c>
      <c r="AL11" s="829">
        <v>5000</v>
      </c>
      <c r="AM11" s="837">
        <v>780000</v>
      </c>
      <c r="AN11" s="831">
        <f t="shared" si="7"/>
        <v>156</v>
      </c>
      <c r="AO11" s="831">
        <f t="shared" si="8"/>
        <v>0</v>
      </c>
      <c r="AP11" s="832"/>
      <c r="AQ11" s="828" t="str">
        <f t="shared" si="9"/>
        <v/>
      </c>
      <c r="AR11" s="829"/>
      <c r="AS11" s="837"/>
      <c r="AT11" s="831" t="str">
        <f t="shared" si="10"/>
        <v/>
      </c>
      <c r="AU11" s="831" t="str">
        <f t="shared" si="11"/>
        <v/>
      </c>
      <c r="AV11" s="832"/>
      <c r="AW11" s="828" t="str">
        <f t="shared" si="12"/>
        <v/>
      </c>
      <c r="AX11" s="829"/>
      <c r="AY11" s="837"/>
      <c r="AZ11" s="831" t="str">
        <f t="shared" si="13"/>
        <v/>
      </c>
      <c r="BA11" s="831" t="str">
        <f t="shared" si="14"/>
        <v/>
      </c>
      <c r="BB11" s="832"/>
      <c r="BC11" s="828" t="str">
        <f t="shared" si="15"/>
        <v/>
      </c>
      <c r="BD11" s="829"/>
      <c r="BE11" s="837"/>
      <c r="BF11" s="831" t="str">
        <f t="shared" si="16"/>
        <v/>
      </c>
      <c r="BG11" s="831" t="str">
        <f t="shared" si="17"/>
        <v/>
      </c>
      <c r="BH11" s="832"/>
      <c r="BI11" s="828" t="str">
        <f t="shared" si="18"/>
        <v/>
      </c>
      <c r="BJ11" s="829"/>
      <c r="BK11" s="837"/>
      <c r="BL11" s="831" t="str">
        <f t="shared" si="19"/>
        <v/>
      </c>
      <c r="BM11" s="831" t="str">
        <f t="shared" si="20"/>
        <v/>
      </c>
      <c r="BN11" s="832"/>
      <c r="BO11" s="873" t="str">
        <f t="shared" si="21"/>
        <v/>
      </c>
      <c r="BP11" s="874"/>
      <c r="BQ11" s="877"/>
      <c r="BR11" s="876" t="str">
        <f t="shared" si="22"/>
        <v/>
      </c>
      <c r="BS11" s="876" t="str">
        <f t="shared" si="23"/>
        <v/>
      </c>
    </row>
    <row r="12" spans="1:71" x14ac:dyDescent="0.2">
      <c r="A12" s="862" t="str">
        <f>IF(F11,"Combined","")</f>
        <v>Combined</v>
      </c>
      <c r="B12" s="827"/>
      <c r="C12" s="863">
        <f>IF(F11,C11,"")</f>
        <v>550</v>
      </c>
      <c r="D12" s="827"/>
      <c r="E12" s="827"/>
      <c r="F12" s="827"/>
      <c r="G12" s="844">
        <f ca="1">IF(F11,IF((C12&gt;0),ROUND(((VLOOKUP(C12,INDIRECT((G4&amp;"Brackets")),3,1)*C12)+VLOOKUP(C12,INDIRECT((G4&amp;"Brackets")),4,1)),0),0),"")</f>
        <v>64520</v>
      </c>
      <c r="H12" s="844">
        <f ca="1">IF(F11,IF((C12&gt;0),ROUND(((VLOOKUP(C12,INDIRECT((H4&amp;"Brackets")),3,1)*C12)+VLOOKUP(C12,INDIRECT((H4&amp;"Brackets")),4,1)),0),0),"")</f>
        <v>79800</v>
      </c>
      <c r="I12" s="844">
        <f ca="1">IF(F11,IF((C12&gt;0),ROUND(((VLOOKUP(C12,INDIRECT((I4&amp;"Brackets")),3,1)*C12)+VLOOKUP(C12,INDIRECT((I4&amp;"Brackets")),4,1)),0),0),"")</f>
        <v>91777</v>
      </c>
      <c r="J12" s="844">
        <f ca="1">IF(F11,IF((C12&gt;0),ROUND(((VLOOKUP(C12,INDIRECT((J4&amp;"Brackets")),3,1)*C12)+VLOOKUP(C12,INDIRECT((J4&amp;"Brackets")),4,1)),0),0),"")</f>
        <v>56741</v>
      </c>
      <c r="K12" s="844">
        <f ca="1">IF(F11,IF((C12&gt;0),ROUND(((VLOOKUP(C12,INDIRECT((K4&amp;"Brackets")),3,1)*C12)+VLOOKUP(C12,INDIRECT((K4&amp;"Brackets")),4,1)),0),0),"")</f>
        <v>89800</v>
      </c>
      <c r="L12" s="844">
        <f ca="1">IF(F11,(E11-L11),"")</f>
        <v>64520</v>
      </c>
      <c r="M12" s="827"/>
      <c r="N12" s="827"/>
      <c r="O12" s="827"/>
      <c r="P12" s="827"/>
      <c r="Q12" s="827"/>
      <c r="R12" s="827"/>
      <c r="S12" s="827"/>
      <c r="T12" s="827"/>
      <c r="U12" s="827"/>
      <c r="V12" s="827"/>
      <c r="W12" s="827"/>
      <c r="Y12" s="828" t="str">
        <f t="shared" si="0"/>
        <v/>
      </c>
      <c r="Z12" s="829"/>
      <c r="AA12" s="837"/>
      <c r="AB12" s="831" t="str">
        <f t="shared" si="1"/>
        <v/>
      </c>
      <c r="AC12" s="831" t="str">
        <f t="shared" si="2"/>
        <v/>
      </c>
      <c r="AD12" s="832"/>
      <c r="AE12" s="828" t="str">
        <f t="shared" si="3"/>
        <v/>
      </c>
      <c r="AF12" s="829"/>
      <c r="AG12" s="837"/>
      <c r="AH12" s="831" t="str">
        <f t="shared" si="4"/>
        <v/>
      </c>
      <c r="AI12" s="831" t="str">
        <f t="shared" si="5"/>
        <v/>
      </c>
      <c r="AJ12" s="832"/>
      <c r="AK12" s="828" t="str">
        <f t="shared" si="6"/>
        <v/>
      </c>
      <c r="AL12" s="829"/>
      <c r="AM12" s="837"/>
      <c r="AN12" s="831" t="str">
        <f t="shared" si="7"/>
        <v/>
      </c>
      <c r="AO12" s="831" t="str">
        <f t="shared" si="8"/>
        <v/>
      </c>
      <c r="AP12" s="832"/>
      <c r="AQ12" s="828" t="str">
        <f t="shared" si="9"/>
        <v/>
      </c>
      <c r="AR12" s="829"/>
      <c r="AS12" s="837"/>
      <c r="AT12" s="831" t="str">
        <f t="shared" si="10"/>
        <v/>
      </c>
      <c r="AU12" s="831" t="str">
        <f t="shared" si="11"/>
        <v/>
      </c>
      <c r="AV12" s="832"/>
      <c r="AW12" s="828" t="str">
        <f t="shared" si="12"/>
        <v/>
      </c>
      <c r="AX12" s="829"/>
      <c r="AY12" s="837"/>
      <c r="AZ12" s="831" t="str">
        <f t="shared" si="13"/>
        <v/>
      </c>
      <c r="BA12" s="831" t="str">
        <f t="shared" si="14"/>
        <v/>
      </c>
      <c r="BB12" s="832"/>
      <c r="BC12" s="828" t="str">
        <f t="shared" si="15"/>
        <v/>
      </c>
      <c r="BD12" s="829"/>
      <c r="BE12" s="837"/>
      <c r="BF12" s="831" t="str">
        <f t="shared" si="16"/>
        <v/>
      </c>
      <c r="BG12" s="831" t="str">
        <f t="shared" si="17"/>
        <v/>
      </c>
      <c r="BH12" s="832"/>
      <c r="BI12" s="828" t="str">
        <f t="shared" si="18"/>
        <v/>
      </c>
      <c r="BJ12" s="829"/>
      <c r="BK12" s="837"/>
      <c r="BL12" s="831" t="str">
        <f t="shared" si="19"/>
        <v/>
      </c>
      <c r="BM12" s="831" t="str">
        <f t="shared" si="20"/>
        <v/>
      </c>
      <c r="BN12" s="832"/>
      <c r="BO12" s="873" t="str">
        <f t="shared" si="21"/>
        <v/>
      </c>
      <c r="BP12" s="874"/>
      <c r="BQ12" s="877"/>
      <c r="BR12" s="876" t="str">
        <f t="shared" si="22"/>
        <v/>
      </c>
      <c r="BS12" s="876" t="str">
        <f t="shared" si="23"/>
        <v/>
      </c>
    </row>
    <row r="13" spans="1:71" x14ac:dyDescent="0.2">
      <c r="A13" s="862" t="str">
        <f>IF(F11,"Savings","")</f>
        <v>Savings</v>
      </c>
      <c r="B13" s="827"/>
      <c r="C13" s="827"/>
      <c r="D13" s="827"/>
      <c r="E13" s="827"/>
      <c r="F13" s="827"/>
      <c r="G13" s="845">
        <f ca="1">IF(F11,((G11-G12)/IF((G11=0),1,G11)),"")</f>
        <v>0</v>
      </c>
      <c r="H13" s="845">
        <f ca="1">IF(F11,((H11-H12)/IF((H11=0),1,H11)),"")</f>
        <v>0</v>
      </c>
      <c r="I13" s="845">
        <f ca="1">IF(F11,((I11-I12)/IF((I11=0),1,I11)),"")</f>
        <v>0</v>
      </c>
      <c r="J13" s="845">
        <f ca="1">IF(F11,((J11-J12)/IF((J11=0),1,J11)),"")</f>
        <v>0</v>
      </c>
      <c r="K13" s="845">
        <f ca="1">IF(F11,((K11-K12)/IF((K11=0),1,K11)),"")</f>
        <v>0</v>
      </c>
      <c r="L13" s="864">
        <f ca="1">IF(F11,(G13*C6+H13*C7+I13*C8+J13*C9)/IF(C11=0,1,C11),"")</f>
        <v>0</v>
      </c>
      <c r="M13" s="827"/>
      <c r="N13" s="827"/>
      <c r="O13" s="827"/>
      <c r="P13" s="827"/>
      <c r="Q13" s="827"/>
      <c r="R13" s="827"/>
      <c r="S13" s="827"/>
      <c r="T13" s="827"/>
      <c r="U13" s="827"/>
      <c r="V13" s="827"/>
      <c r="W13" s="827"/>
      <c r="Y13" s="828" t="str">
        <f t="shared" si="0"/>
        <v/>
      </c>
      <c r="Z13" s="829"/>
      <c r="AA13" s="830"/>
      <c r="AB13" s="831" t="str">
        <f t="shared" si="1"/>
        <v/>
      </c>
      <c r="AC13" s="831" t="str">
        <f t="shared" si="2"/>
        <v/>
      </c>
      <c r="AD13" s="832"/>
      <c r="AE13" s="828" t="str">
        <f t="shared" si="3"/>
        <v/>
      </c>
      <c r="AF13" s="829"/>
      <c r="AG13" s="830"/>
      <c r="AH13" s="831" t="str">
        <f t="shared" si="4"/>
        <v/>
      </c>
      <c r="AI13" s="831" t="str">
        <f t="shared" si="5"/>
        <v/>
      </c>
      <c r="AJ13" s="832"/>
      <c r="AK13" s="828" t="str">
        <f t="shared" si="6"/>
        <v/>
      </c>
      <c r="AL13" s="829"/>
      <c r="AM13" s="830"/>
      <c r="AN13" s="831" t="str">
        <f t="shared" si="7"/>
        <v/>
      </c>
      <c r="AO13" s="831" t="str">
        <f t="shared" si="8"/>
        <v/>
      </c>
      <c r="AP13" s="832"/>
      <c r="AQ13" s="828" t="str">
        <f t="shared" si="9"/>
        <v/>
      </c>
      <c r="AR13" s="829"/>
      <c r="AS13" s="830"/>
      <c r="AT13" s="831" t="str">
        <f t="shared" si="10"/>
        <v/>
      </c>
      <c r="AU13" s="831" t="str">
        <f t="shared" si="11"/>
        <v/>
      </c>
      <c r="AV13" s="832"/>
      <c r="AW13" s="828" t="str">
        <f t="shared" si="12"/>
        <v/>
      </c>
      <c r="AX13" s="829"/>
      <c r="AY13" s="830"/>
      <c r="AZ13" s="831" t="str">
        <f t="shared" si="13"/>
        <v/>
      </c>
      <c r="BA13" s="831" t="str">
        <f t="shared" si="14"/>
        <v/>
      </c>
      <c r="BB13" s="832"/>
      <c r="BC13" s="828" t="str">
        <f t="shared" si="15"/>
        <v/>
      </c>
      <c r="BD13" s="829"/>
      <c r="BE13" s="830"/>
      <c r="BF13" s="831" t="str">
        <f t="shared" si="16"/>
        <v/>
      </c>
      <c r="BG13" s="831" t="str">
        <f t="shared" si="17"/>
        <v/>
      </c>
      <c r="BH13" s="832"/>
      <c r="BI13" s="828" t="str">
        <f t="shared" si="18"/>
        <v/>
      </c>
      <c r="BJ13" s="829"/>
      <c r="BK13" s="830"/>
      <c r="BL13" s="831" t="str">
        <f t="shared" si="19"/>
        <v/>
      </c>
      <c r="BM13" s="831" t="str">
        <f t="shared" si="20"/>
        <v/>
      </c>
      <c r="BN13" s="832"/>
      <c r="BO13" s="873" t="str">
        <f t="shared" si="21"/>
        <v/>
      </c>
      <c r="BP13" s="874"/>
      <c r="BQ13" s="875"/>
      <c r="BR13" s="876" t="str">
        <f t="shared" si="22"/>
        <v/>
      </c>
      <c r="BS13" s="876" t="str">
        <f t="shared" si="23"/>
        <v/>
      </c>
    </row>
    <row r="14" spans="1:71" x14ac:dyDescent="0.2">
      <c r="A14" s="1030" t="str">
        <f>IF(F11,"SF from Calculated Intuition","SF from Combination Chart")</f>
        <v>SF from Calculated Intuition</v>
      </c>
      <c r="B14" s="1030"/>
      <c r="C14" s="1030"/>
      <c r="D14" s="1030"/>
      <c r="E14" s="865">
        <f ca="1">IF(F11,L12,IF((C11=0),0,IF((C6=0),O7,IF((C7=0),P6,IF((SUM(C8:C9)=0),N6,P6)))))</f>
        <v>64520</v>
      </c>
      <c r="F14" s="866" t="s">
        <v>38</v>
      </c>
      <c r="G14" s="827"/>
      <c r="H14" s="827"/>
      <c r="I14" s="827"/>
      <c r="J14" s="866"/>
      <c r="K14" s="866"/>
      <c r="L14" s="866"/>
      <c r="M14" s="866"/>
      <c r="N14" s="866"/>
      <c r="O14" s="866"/>
      <c r="P14" s="866"/>
      <c r="Q14" s="866"/>
      <c r="R14" s="866"/>
      <c r="S14" s="866"/>
      <c r="T14" s="866"/>
      <c r="U14" s="866"/>
      <c r="V14" s="827"/>
      <c r="W14" s="827"/>
      <c r="Y14" s="828" t="str">
        <f t="shared" si="0"/>
        <v/>
      </c>
      <c r="Z14" s="829"/>
      <c r="AA14" s="830"/>
      <c r="AB14" s="831" t="str">
        <f t="shared" si="1"/>
        <v/>
      </c>
      <c r="AC14" s="831" t="str">
        <f t="shared" si="2"/>
        <v/>
      </c>
      <c r="AD14" s="832"/>
      <c r="AE14" s="828" t="str">
        <f t="shared" si="3"/>
        <v/>
      </c>
      <c r="AF14" s="829"/>
      <c r="AG14" s="830"/>
      <c r="AH14" s="831" t="str">
        <f t="shared" si="4"/>
        <v/>
      </c>
      <c r="AI14" s="831" t="str">
        <f t="shared" si="5"/>
        <v/>
      </c>
      <c r="AJ14" s="832"/>
      <c r="AK14" s="828" t="str">
        <f t="shared" si="6"/>
        <v/>
      </c>
      <c r="AL14" s="829"/>
      <c r="AM14" s="830"/>
      <c r="AN14" s="831" t="str">
        <f t="shared" si="7"/>
        <v/>
      </c>
      <c r="AO14" s="831" t="str">
        <f t="shared" si="8"/>
        <v/>
      </c>
      <c r="AP14" s="832"/>
      <c r="AQ14" s="828" t="str">
        <f t="shared" si="9"/>
        <v/>
      </c>
      <c r="AR14" s="829"/>
      <c r="AS14" s="830"/>
      <c r="AT14" s="831" t="str">
        <f t="shared" si="10"/>
        <v/>
      </c>
      <c r="AU14" s="831" t="str">
        <f t="shared" si="11"/>
        <v/>
      </c>
      <c r="AV14" s="832"/>
      <c r="AW14" s="828" t="str">
        <f t="shared" si="12"/>
        <v/>
      </c>
      <c r="AX14" s="829"/>
      <c r="AY14" s="830"/>
      <c r="AZ14" s="831" t="str">
        <f t="shared" si="13"/>
        <v/>
      </c>
      <c r="BA14" s="831" t="str">
        <f t="shared" si="14"/>
        <v/>
      </c>
      <c r="BB14" s="832"/>
      <c r="BC14" s="828" t="str">
        <f t="shared" si="15"/>
        <v/>
      </c>
      <c r="BD14" s="829"/>
      <c r="BE14" s="830"/>
      <c r="BF14" s="831" t="str">
        <f t="shared" si="16"/>
        <v/>
      </c>
      <c r="BG14" s="831" t="str">
        <f t="shared" si="17"/>
        <v/>
      </c>
      <c r="BH14" s="832"/>
      <c r="BI14" s="828" t="str">
        <f t="shared" si="18"/>
        <v/>
      </c>
      <c r="BJ14" s="829"/>
      <c r="BK14" s="830"/>
      <c r="BL14" s="831" t="str">
        <f t="shared" si="19"/>
        <v/>
      </c>
      <c r="BM14" s="831" t="str">
        <f t="shared" si="20"/>
        <v/>
      </c>
      <c r="BN14" s="832"/>
      <c r="BO14" s="873" t="str">
        <f t="shared" si="21"/>
        <v/>
      </c>
      <c r="BP14" s="874"/>
      <c r="BQ14" s="875"/>
      <c r="BR14" s="876" t="str">
        <f t="shared" si="22"/>
        <v/>
      </c>
      <c r="BS14" s="876" t="str">
        <f t="shared" si="23"/>
        <v/>
      </c>
    </row>
    <row r="15" spans="1:71" x14ac:dyDescent="0.2">
      <c r="Y15" s="828" t="str">
        <f t="shared" si="0"/>
        <v/>
      </c>
      <c r="Z15" s="829"/>
      <c r="AA15" s="830"/>
      <c r="AB15" s="831" t="str">
        <f t="shared" si="1"/>
        <v/>
      </c>
      <c r="AC15" s="831" t="str">
        <f t="shared" si="2"/>
        <v/>
      </c>
      <c r="AD15" s="832"/>
      <c r="AE15" s="828" t="str">
        <f t="shared" si="3"/>
        <v/>
      </c>
      <c r="AF15" s="829"/>
      <c r="AG15" s="830"/>
      <c r="AH15" s="831" t="str">
        <f t="shared" si="4"/>
        <v/>
      </c>
      <c r="AI15" s="831" t="str">
        <f t="shared" si="5"/>
        <v/>
      </c>
      <c r="AJ15" s="832"/>
      <c r="AK15" s="828" t="str">
        <f t="shared" si="6"/>
        <v/>
      </c>
      <c r="AL15" s="829"/>
      <c r="AM15" s="830"/>
      <c r="AN15" s="831" t="str">
        <f t="shared" si="7"/>
        <v/>
      </c>
      <c r="AO15" s="831" t="str">
        <f t="shared" si="8"/>
        <v/>
      </c>
      <c r="AP15" s="832"/>
      <c r="AQ15" s="828" t="str">
        <f t="shared" si="9"/>
        <v/>
      </c>
      <c r="AR15" s="829"/>
      <c r="AS15" s="830"/>
      <c r="AT15" s="831" t="str">
        <f t="shared" si="10"/>
        <v/>
      </c>
      <c r="AU15" s="831" t="str">
        <f t="shared" si="11"/>
        <v/>
      </c>
      <c r="AV15" s="832"/>
      <c r="AW15" s="828" t="str">
        <f t="shared" si="12"/>
        <v/>
      </c>
      <c r="AX15" s="829"/>
      <c r="AY15" s="830"/>
      <c r="AZ15" s="831" t="str">
        <f t="shared" si="13"/>
        <v/>
      </c>
      <c r="BA15" s="831" t="str">
        <f t="shared" si="14"/>
        <v/>
      </c>
      <c r="BB15" s="832"/>
      <c r="BC15" s="828" t="str">
        <f t="shared" si="15"/>
        <v/>
      </c>
      <c r="BD15" s="829"/>
      <c r="BE15" s="830"/>
      <c r="BF15" s="831" t="str">
        <f t="shared" si="16"/>
        <v/>
      </c>
      <c r="BG15" s="831" t="str">
        <f t="shared" si="17"/>
        <v/>
      </c>
      <c r="BH15" s="832"/>
      <c r="BI15" s="828" t="str">
        <f t="shared" si="18"/>
        <v/>
      </c>
      <c r="BJ15" s="829"/>
      <c r="BK15" s="830"/>
      <c r="BL15" s="831" t="str">
        <f t="shared" si="19"/>
        <v/>
      </c>
      <c r="BM15" s="831" t="str">
        <f t="shared" si="20"/>
        <v/>
      </c>
      <c r="BN15" s="832"/>
      <c r="BO15" s="873" t="str">
        <f t="shared" si="21"/>
        <v/>
      </c>
      <c r="BP15" s="874"/>
      <c r="BQ15" s="875"/>
      <c r="BR15" s="876" t="str">
        <f t="shared" si="22"/>
        <v/>
      </c>
      <c r="BS15" s="876" t="str">
        <f t="shared" si="23"/>
        <v/>
      </c>
    </row>
    <row r="16" spans="1:71" x14ac:dyDescent="0.2">
      <c r="A16" s="1032" t="s">
        <v>979</v>
      </c>
      <c r="B16" s="1032"/>
      <c r="C16" s="1032"/>
      <c r="D16" s="1032"/>
      <c r="E16" s="1032"/>
      <c r="F16" s="1032"/>
      <c r="G16" s="1032"/>
      <c r="H16" s="1032"/>
      <c r="I16" s="1032"/>
      <c r="J16" s="1032"/>
      <c r="K16" s="1032"/>
      <c r="L16" s="1032"/>
      <c r="M16" s="1032"/>
      <c r="N16" s="1032"/>
      <c r="O16" s="1032"/>
      <c r="P16" s="1032"/>
      <c r="Q16" s="1032"/>
      <c r="R16" s="1032"/>
      <c r="S16" s="1032"/>
      <c r="T16" s="1032"/>
      <c r="U16" s="1032"/>
      <c r="V16" s="1032"/>
      <c r="W16" s="1032"/>
      <c r="Y16" s="828" t="str">
        <f t="shared" si="0"/>
        <v/>
      </c>
      <c r="Z16" s="829"/>
      <c r="AA16" s="830"/>
      <c r="AB16" s="831" t="str">
        <f t="shared" si="1"/>
        <v/>
      </c>
      <c r="AC16" s="831" t="str">
        <f t="shared" si="2"/>
        <v/>
      </c>
      <c r="AD16" s="832"/>
      <c r="AE16" s="828" t="str">
        <f t="shared" si="3"/>
        <v/>
      </c>
      <c r="AF16" s="829"/>
      <c r="AG16" s="830"/>
      <c r="AH16" s="831" t="str">
        <f t="shared" si="4"/>
        <v/>
      </c>
      <c r="AI16" s="831" t="str">
        <f t="shared" si="5"/>
        <v/>
      </c>
      <c r="AJ16" s="832"/>
      <c r="AK16" s="828" t="str">
        <f t="shared" si="6"/>
        <v/>
      </c>
      <c r="AL16" s="829"/>
      <c r="AM16" s="830"/>
      <c r="AN16" s="831" t="str">
        <f t="shared" si="7"/>
        <v/>
      </c>
      <c r="AO16" s="831" t="str">
        <f t="shared" si="8"/>
        <v/>
      </c>
      <c r="AP16" s="832"/>
      <c r="AQ16" s="828" t="str">
        <f t="shared" si="9"/>
        <v/>
      </c>
      <c r="AR16" s="829"/>
      <c r="AS16" s="830"/>
      <c r="AT16" s="831" t="str">
        <f t="shared" si="10"/>
        <v/>
      </c>
      <c r="AU16" s="831" t="str">
        <f t="shared" si="11"/>
        <v/>
      </c>
      <c r="AV16" s="832"/>
      <c r="AW16" s="828" t="str">
        <f t="shared" si="12"/>
        <v/>
      </c>
      <c r="AX16" s="829"/>
      <c r="AY16" s="830"/>
      <c r="AZ16" s="831" t="str">
        <f t="shared" si="13"/>
        <v/>
      </c>
      <c r="BA16" s="831" t="str">
        <f t="shared" si="14"/>
        <v/>
      </c>
      <c r="BB16" s="832"/>
      <c r="BC16" s="828" t="str">
        <f t="shared" si="15"/>
        <v/>
      </c>
      <c r="BD16" s="829"/>
      <c r="BE16" s="830"/>
      <c r="BF16" s="831" t="str">
        <f t="shared" si="16"/>
        <v/>
      </c>
      <c r="BG16" s="831" t="str">
        <f t="shared" si="17"/>
        <v/>
      </c>
      <c r="BH16" s="832"/>
      <c r="BI16" s="828" t="str">
        <f t="shared" si="18"/>
        <v/>
      </c>
      <c r="BJ16" s="829"/>
      <c r="BK16" s="830"/>
      <c r="BL16" s="831" t="str">
        <f t="shared" si="19"/>
        <v/>
      </c>
      <c r="BM16" s="831" t="str">
        <f t="shared" si="20"/>
        <v/>
      </c>
      <c r="BN16" s="832"/>
      <c r="BO16" s="873" t="str">
        <f t="shared" si="21"/>
        <v/>
      </c>
      <c r="BP16" s="874"/>
      <c r="BQ16" s="875"/>
      <c r="BR16" s="876" t="str">
        <f t="shared" si="22"/>
        <v/>
      </c>
      <c r="BS16" s="876" t="str">
        <f t="shared" si="23"/>
        <v/>
      </c>
    </row>
    <row r="17" spans="1:71" ht="13.5" thickBot="1" x14ac:dyDescent="0.25">
      <c r="A17" s="827"/>
      <c r="B17" s="827"/>
      <c r="C17" s="827"/>
      <c r="D17" s="827"/>
      <c r="E17" s="1026" t="s">
        <v>968</v>
      </c>
      <c r="F17" s="1026" t="s">
        <v>969</v>
      </c>
      <c r="G17" s="1031" t="str">
        <f>IF(F25,"Area If Built Separately for Same Numbers of…","")</f>
        <v>Area If Built Separately for Same Numbers of…</v>
      </c>
      <c r="H17" s="1031"/>
      <c r="I17" s="1031"/>
      <c r="J17" s="1031"/>
      <c r="K17" s="1031"/>
      <c r="L17" s="827"/>
      <c r="M17" s="827"/>
      <c r="N17" s="827"/>
      <c r="O17" s="827"/>
      <c r="P17" s="827"/>
      <c r="Q17" s="1026" t="str">
        <f>IF(F25,"","% SF per Grade Level")</f>
        <v/>
      </c>
      <c r="R17" s="827"/>
      <c r="S17" s="1026" t="str">
        <f>IF(F25,"","Combo Chart Area")</f>
        <v/>
      </c>
      <c r="T17" s="827"/>
      <c r="U17" s="1026" t="str">
        <f>IF(F25,"","Area per Grade Level")</f>
        <v/>
      </c>
      <c r="V17" s="827"/>
      <c r="W17" s="827"/>
      <c r="Y17" s="828" t="str">
        <f t="shared" si="0"/>
        <v/>
      </c>
      <c r="Z17" s="829"/>
      <c r="AA17" s="830"/>
      <c r="AB17" s="831" t="str">
        <f t="shared" si="1"/>
        <v/>
      </c>
      <c r="AC17" s="831" t="str">
        <f t="shared" si="2"/>
        <v/>
      </c>
      <c r="AD17" s="832"/>
      <c r="AE17" s="828" t="str">
        <f t="shared" si="3"/>
        <v/>
      </c>
      <c r="AF17" s="829"/>
      <c r="AG17" s="830"/>
      <c r="AH17" s="831" t="str">
        <f t="shared" si="4"/>
        <v/>
      </c>
      <c r="AI17" s="831" t="str">
        <f t="shared" si="5"/>
        <v/>
      </c>
      <c r="AJ17" s="832"/>
      <c r="AK17" s="828" t="str">
        <f t="shared" si="6"/>
        <v/>
      </c>
      <c r="AL17" s="829"/>
      <c r="AM17" s="830"/>
      <c r="AN17" s="831" t="str">
        <f t="shared" si="7"/>
        <v/>
      </c>
      <c r="AO17" s="831" t="str">
        <f t="shared" si="8"/>
        <v/>
      </c>
      <c r="AP17" s="832"/>
      <c r="AQ17" s="828" t="str">
        <f t="shared" si="9"/>
        <v/>
      </c>
      <c r="AR17" s="829"/>
      <c r="AS17" s="830"/>
      <c r="AT17" s="831" t="str">
        <f t="shared" si="10"/>
        <v/>
      </c>
      <c r="AU17" s="831" t="str">
        <f t="shared" si="11"/>
        <v/>
      </c>
      <c r="AV17" s="832"/>
      <c r="AW17" s="828" t="str">
        <f t="shared" si="12"/>
        <v/>
      </c>
      <c r="AX17" s="829"/>
      <c r="AY17" s="830"/>
      <c r="AZ17" s="831" t="str">
        <f t="shared" si="13"/>
        <v/>
      </c>
      <c r="BA17" s="831" t="str">
        <f t="shared" si="14"/>
        <v/>
      </c>
      <c r="BB17" s="832"/>
      <c r="BC17" s="828" t="str">
        <f t="shared" si="15"/>
        <v/>
      </c>
      <c r="BD17" s="829"/>
      <c r="BE17" s="830"/>
      <c r="BF17" s="831" t="str">
        <f t="shared" si="16"/>
        <v/>
      </c>
      <c r="BG17" s="831" t="str">
        <f t="shared" si="17"/>
        <v/>
      </c>
      <c r="BH17" s="832"/>
      <c r="BI17" s="828" t="str">
        <f t="shared" si="18"/>
        <v/>
      </c>
      <c r="BJ17" s="829"/>
      <c r="BK17" s="830"/>
      <c r="BL17" s="831" t="str">
        <f t="shared" si="19"/>
        <v/>
      </c>
      <c r="BM17" s="831" t="str">
        <f t="shared" si="20"/>
        <v/>
      </c>
      <c r="BN17" s="832"/>
      <c r="BO17" s="873" t="str">
        <f t="shared" si="21"/>
        <v/>
      </c>
      <c r="BP17" s="874"/>
      <c r="BQ17" s="875"/>
      <c r="BR17" s="876" t="str">
        <f t="shared" si="22"/>
        <v/>
      </c>
      <c r="BS17" s="876" t="str">
        <f t="shared" si="23"/>
        <v/>
      </c>
    </row>
    <row r="18" spans="1:71" ht="39" thickBot="1" x14ac:dyDescent="0.25">
      <c r="A18" s="833" t="s">
        <v>970</v>
      </c>
      <c r="B18" s="827"/>
      <c r="C18" s="834" t="s">
        <v>971</v>
      </c>
      <c r="D18" s="827"/>
      <c r="E18" s="1026"/>
      <c r="F18" s="1026"/>
      <c r="G18" s="835" t="str">
        <f>IF(F25,"Elementary","")</f>
        <v>Elementary</v>
      </c>
      <c r="H18" s="835" t="str">
        <f>IF(F25,"Middle","")</f>
        <v>Middle</v>
      </c>
      <c r="I18" s="835" t="str">
        <f>IF(F25,"High","")</f>
        <v>High</v>
      </c>
      <c r="J18" s="835" t="str">
        <f>IF(F25,"CTCore","")</f>
        <v>CTCore</v>
      </c>
      <c r="K18" s="835" t="str">
        <f>IF(F25,"CTProgram","")</f>
        <v>CTProgram</v>
      </c>
      <c r="L18" s="835" t="str">
        <f>IF(F25,"Expected Savings","")</f>
        <v>Expected Savings</v>
      </c>
      <c r="M18" s="827"/>
      <c r="N18" s="836" t="str">
        <f>IF(F25,"","EM")</f>
        <v/>
      </c>
      <c r="O18" s="836" t="str">
        <f>IF(F25,"","MH")</f>
        <v/>
      </c>
      <c r="P18" s="836" t="str">
        <f>IF(F25,"","EMH")</f>
        <v/>
      </c>
      <c r="Q18" s="1026"/>
      <c r="R18" s="827"/>
      <c r="S18" s="1026"/>
      <c r="T18" s="827"/>
      <c r="U18" s="1026"/>
      <c r="V18" s="835" t="s">
        <v>38</v>
      </c>
      <c r="W18" s="835" t="s">
        <v>91</v>
      </c>
      <c r="Y18" s="828"/>
      <c r="Z18" s="867"/>
      <c r="AA18" s="837"/>
      <c r="AB18" s="831"/>
      <c r="AC18" s="831"/>
      <c r="AD18" s="868"/>
      <c r="AE18" s="828"/>
      <c r="AF18" s="867"/>
      <c r="AG18" s="837"/>
      <c r="AH18" s="831"/>
      <c r="AI18" s="831"/>
      <c r="AJ18" s="868"/>
      <c r="AK18" s="828"/>
      <c r="AL18" s="867"/>
      <c r="AM18" s="837"/>
      <c r="AN18" s="831"/>
      <c r="AO18" s="831"/>
      <c r="AP18" s="868"/>
      <c r="AQ18" s="828"/>
      <c r="AR18" s="867"/>
      <c r="AS18" s="837"/>
      <c r="AT18" s="831"/>
      <c r="AU18" s="831"/>
      <c r="AV18" s="832"/>
      <c r="AW18" s="828"/>
      <c r="AX18" s="867"/>
      <c r="AY18" s="837"/>
      <c r="AZ18" s="831"/>
      <c r="BA18" s="831"/>
      <c r="BB18" s="832"/>
      <c r="BC18" s="828"/>
      <c r="BD18" s="867"/>
      <c r="BE18" s="837"/>
      <c r="BF18" s="831"/>
      <c r="BG18" s="831"/>
      <c r="BH18" s="832"/>
      <c r="BI18" s="828"/>
      <c r="BJ18" s="867"/>
      <c r="BK18" s="837"/>
      <c r="BL18" s="831"/>
      <c r="BM18" s="831"/>
      <c r="BN18" s="832"/>
      <c r="BO18" s="873"/>
      <c r="BP18" s="878"/>
      <c r="BQ18" s="877"/>
      <c r="BR18" s="876"/>
      <c r="BS18" s="876"/>
    </row>
    <row r="19" spans="1:71" ht="12.75" customHeight="1" x14ac:dyDescent="0.2">
      <c r="A19" s="838"/>
      <c r="B19" s="827"/>
      <c r="C19" s="839"/>
      <c r="D19" s="827"/>
      <c r="E19" s="839"/>
      <c r="F19" s="838"/>
      <c r="G19" s="838"/>
      <c r="H19" s="838"/>
      <c r="I19" s="838"/>
      <c r="J19" s="838"/>
      <c r="K19" s="838"/>
      <c r="L19" s="838"/>
      <c r="M19" s="827"/>
      <c r="N19" s="827"/>
      <c r="O19" s="827"/>
      <c r="P19" s="827"/>
      <c r="Q19" s="838"/>
      <c r="R19" s="827"/>
      <c r="S19" s="838"/>
      <c r="T19" s="827"/>
      <c r="U19" s="838"/>
      <c r="V19" s="838"/>
      <c r="W19" s="838"/>
    </row>
    <row r="20" spans="1:71" ht="12.75" customHeight="1" x14ac:dyDescent="0.2">
      <c r="A20" s="840" t="s">
        <v>956</v>
      </c>
      <c r="B20" s="827"/>
      <c r="C20" s="841"/>
      <c r="D20" s="827"/>
      <c r="E20" s="842">
        <f ca="1">ROUND(((VLOOKUP(C20,INDIRECT((A20&amp;"Brackets")),3,1)*C20)+VLOOKUP(C20,INDIRECT((A20&amp;"Brackets")),4,1)),0)</f>
        <v>0</v>
      </c>
      <c r="F20" s="843" t="b">
        <f>OR(C20=0,C20&gt;=350,C20=SUM(C20:C23))</f>
        <v>1</v>
      </c>
      <c r="G20" s="844">
        <f ca="1">IF(F25,IF((C20&gt;0),ROUND(((VLOOKUP(C20,INDIRECT((G18&amp;"Brackets")),3,1)*C20)+VLOOKUP(C20,INDIRECT((G18&amp;"Brackets")),4,1)),0),0),"")</f>
        <v>0</v>
      </c>
      <c r="H20" s="844">
        <f ca="1">IF(F25,IF((C20&gt;0),ROUND(((VLOOKUP(C20,INDIRECT((H18&amp;"Brackets")),3,1)*C20)+VLOOKUP(C20,INDIRECT((H18&amp;"Brackets")),4,1)),0),0),"")</f>
        <v>0</v>
      </c>
      <c r="I20" s="844">
        <f ca="1">IF(F25,IF((C20&gt;0),ROUND(((VLOOKUP(C20,INDIRECT((I18&amp;"Brackets")),3,1)*C20)+VLOOKUP(C20,INDIRECT((I18&amp;"Brackets")),4,1)),0),0),"")</f>
        <v>0</v>
      </c>
      <c r="J20" s="844">
        <f ca="1">IF(F25,IF((C20&gt;0),ROUND(((VLOOKUP(C20,INDIRECT((J18&amp;"Brackets")),3,1)*C20)+VLOOKUP(C20,INDIRECT((J18&amp;"Brackets")),4,1)),0),0),"")</f>
        <v>0</v>
      </c>
      <c r="K20" s="844">
        <f ca="1">IF(F25,IF((C20&gt;0),ROUND(((VLOOKUP(C20,INDIRECT((K18&amp;"Brackets")),3,1)*C20)+VLOOKUP(C20,INDIRECT((K18&amp;"Brackets")),4,1)),0),0),"")</f>
        <v>0</v>
      </c>
      <c r="L20" s="827"/>
      <c r="M20" s="827"/>
      <c r="N20" s="1027" t="str">
        <f>IF(F25,"",ROUND(((VLOOKUP(SUM(C20:C21),EMBrackets,3,1)*SUM(C20:C21))+VLOOKUP(SUM(C20:C21),EMBrackets,4,1)),0))</f>
        <v/>
      </c>
      <c r="O20" s="827"/>
      <c r="P20" s="1028" t="str">
        <f>IF(F25,"",ROUND(((VLOOKUP(SUM(C20:C23),EMHBrackets,3,1)*SUM(C20:C23))+VLOOKUP(SUM(C20:C23),EMHBrackets,4,1)),0))</f>
        <v/>
      </c>
      <c r="Q20" s="845" t="str">
        <f>IF(F25,"",IF((C20=0),0,(E20/E25)))</f>
        <v/>
      </c>
      <c r="R20" s="827" t="str">
        <f>IF(F25,"","×")</f>
        <v/>
      </c>
      <c r="S20" s="844" t="str">
        <f>IF(F25,"",IF((C20=0),0,E28))</f>
        <v/>
      </c>
      <c r="T20" s="827" t="str">
        <f>IF(F25,"","=")</f>
        <v/>
      </c>
      <c r="U20" s="844" t="str">
        <f>IF(F25,"",IF((C20=0),0,(Q20*S20)))</f>
        <v/>
      </c>
      <c r="V20" s="846">
        <f ca="1">IF((U20=""),E20,U20)*(1-IF((L27=""),0,L27))</f>
        <v>0</v>
      </c>
      <c r="W20" s="827">
        <f>IF((C20=0),0,(V20/C20))</f>
        <v>0</v>
      </c>
    </row>
    <row r="21" spans="1:71" ht="12.75" customHeight="1" x14ac:dyDescent="0.2">
      <c r="A21" s="847" t="s">
        <v>957</v>
      </c>
      <c r="B21" s="827"/>
      <c r="C21" s="841">
        <f>'2200 M-SCLE'!G15</f>
        <v>450</v>
      </c>
      <c r="D21" s="827"/>
      <c r="E21" s="842">
        <f ca="1">ROUND(((VLOOKUP(C21,INDIRECT((A21&amp;"Brackets")),3,1)*C21)+VLOOKUP(C21,INDIRECT((A21&amp;"Brackets")),4,1)),0)</f>
        <v>67950</v>
      </c>
      <c r="F21" s="843" t="b">
        <f>OR(C21=0,C21&gt;=350,C21=SUM(C20:C23))</f>
        <v>1</v>
      </c>
      <c r="G21" s="844">
        <f ca="1">IF(F25,IF((C21&gt;0),ROUND(((VLOOKUP(C21,INDIRECT((G18&amp;"Brackets")),3,1)*C21)+VLOOKUP(C21,INDIRECT((G18&amp;"Brackets")),4,1)),0),0),"")</f>
        <v>54840</v>
      </c>
      <c r="H21" s="844">
        <f ca="1">IF(F25,IF((C21&gt;0),ROUND(((VLOOKUP(C21,INDIRECT((H18&amp;"Brackets")),3,1)*C21)+VLOOKUP(C21,INDIRECT((H18&amp;"Brackets")),4,1)),0),0),"")</f>
        <v>67950</v>
      </c>
      <c r="I21" s="844">
        <f ca="1">IF(F25,IF((C21&gt;0),ROUND(((VLOOKUP(C21,INDIRECT((I18&amp;"Brackets")),3,1)*C21)+VLOOKUP(C21,INDIRECT((I18&amp;"Brackets")),4,1)),0),0),"")</f>
        <v>81000</v>
      </c>
      <c r="J21" s="844">
        <f ca="1">IF(F25,IF((C21&gt;0),ROUND(((VLOOKUP(C21,INDIRECT((J18&amp;"Brackets")),3,1)*C21)+VLOOKUP(C21,INDIRECT((J18&amp;"Brackets")),4,1)),0),0),"")</f>
        <v>49047</v>
      </c>
      <c r="K21" s="844">
        <f ca="1">IF(F25,IF((C21&gt;0),ROUND(((VLOOKUP(C21,INDIRECT((K18&amp;"Brackets")),3,1)*C21)+VLOOKUP(C21,INDIRECT((K18&amp;"Brackets")),4,1)),0),0),"")</f>
        <v>75000</v>
      </c>
      <c r="L21" s="827"/>
      <c r="M21" s="827"/>
      <c r="N21" s="1027"/>
      <c r="O21" s="1029" t="str">
        <f>IF(F25,"",ROUND(((VLOOKUP(SUM(C21:C23),MHBrackets,3,1)*SUM(C21:C23))+VLOOKUP(SUM(C21:C23),MHBrackets,4,1)),0))</f>
        <v/>
      </c>
      <c r="P21" s="1028"/>
      <c r="Q21" s="845" t="str">
        <f>IF(F25,"",IF((C21=0),0,(E21/E25)))</f>
        <v/>
      </c>
      <c r="R21" s="827" t="str">
        <f>IF(F25,"","×")</f>
        <v/>
      </c>
      <c r="S21" s="844" t="str">
        <f>IF(F25,"",IF((C21=0),0,E28))</f>
        <v/>
      </c>
      <c r="T21" s="827" t="str">
        <f>IF(F25,"","=")</f>
        <v/>
      </c>
      <c r="U21" s="844" t="str">
        <f>IF(F25,"",IF((C21=0),0,(Q21*S21)))</f>
        <v/>
      </c>
      <c r="V21" s="846">
        <f ca="1">IF((U21=""),E21,U21)*(1-IF((L27=""),0,L27))</f>
        <v>67950</v>
      </c>
      <c r="W21" s="827">
        <f ca="1">IF((C21=0),0,(V21/C21))</f>
        <v>151</v>
      </c>
    </row>
    <row r="22" spans="1:71" ht="12.75" customHeight="1" x14ac:dyDescent="0.2">
      <c r="A22" s="848" t="s">
        <v>958</v>
      </c>
      <c r="B22" s="827"/>
      <c r="C22" s="841"/>
      <c r="D22" s="827"/>
      <c r="E22" s="842">
        <f ca="1">((ROUND(((VLOOKUP(SUM(C22:C23),INDIRECT((A22&amp;"Brackets")),3,1)*SUM(C22:C23))+VLOOKUP(SUM(C22:C23),INDIRECT((A22&amp;"Brackets")),4,1)),0))/IF((SUM(C22:C23)=0),1,SUM(C22:C23)))*C22</f>
        <v>0</v>
      </c>
      <c r="F22" s="843" t="b">
        <f>OR(SUM(C22:C23)=0,SUM(C22:C23)&gt;=350,SUM(C22:C23)=SUM(C20:C23))</f>
        <v>1</v>
      </c>
      <c r="G22" s="844">
        <f ca="1">IF(F25,IF((SUM(C22:C23)&gt;0),(((ROUND(((VLOOKUP(SUM(C22:C23),INDIRECT((G18&amp;"Brackets")),3,1)*SUM(C22:C23))+VLOOKUP(SUM(C22:C23),INDIRECT((G18&amp;"Brackets")),4,1)),0))/SUM(C22:C23))*C22),0),"")</f>
        <v>0</v>
      </c>
      <c r="H22" s="844">
        <f ca="1">IF(F25,IF((SUM(C22:C23)&gt;0),(((ROUND(((VLOOKUP(SUM(C22:C23),INDIRECT((H18&amp;"Brackets")),3,1)*SUM(C22:C23))+VLOOKUP(SUM(C22:C23),INDIRECT((H18&amp;"Brackets")),4,1)),0))/SUM(C22:C23))*C22),0),"")</f>
        <v>0</v>
      </c>
      <c r="I22" s="844">
        <f ca="1">IF(F25,IF((SUM(C22:C23)&gt;0),(((ROUND(((VLOOKUP(SUM(C22:C23),INDIRECT((I18&amp;"Brackets")),3,1)*SUM(C22:C23))+VLOOKUP(SUM(C22:C23),INDIRECT((I18&amp;"Brackets")),4,1)),0))/SUM(C22:C23))*C22),0),"")</f>
        <v>0</v>
      </c>
      <c r="J22" s="844">
        <f ca="1">IF(F25,IF((SUM(C22:C23)&gt;0),(((ROUND(((VLOOKUP(SUM(C22:C23),INDIRECT((J18&amp;"Brackets")),3,1)*SUM(C22:C23))+VLOOKUP(SUM(C22:C23),INDIRECT((J18&amp;"Brackets")),4,1)),0))/SUM(C22:C23))*C22),0),"")</f>
        <v>0</v>
      </c>
      <c r="K22" s="844">
        <f ca="1">IF(F25,IF((SUM(C22:C23)&gt;0),(((ROUND(((VLOOKUP(SUM(C22:C23),INDIRECT((K18&amp;"Brackets")),3,1)*SUM(C22:C23))+VLOOKUP(SUM(C22:C23),INDIRECT((K18&amp;"Brackets")),4,1)),0))/SUM(C22:C23))*C22),0),"")</f>
        <v>0</v>
      </c>
      <c r="L22" s="827"/>
      <c r="M22" s="827"/>
      <c r="N22" s="827"/>
      <c r="O22" s="1029"/>
      <c r="P22" s="1029"/>
      <c r="Q22" s="845" t="str">
        <f>IF(F25,"",IF((C22=0),0,(E22/E25)))</f>
        <v/>
      </c>
      <c r="R22" s="827" t="str">
        <f>IF(F25,"","×")</f>
        <v/>
      </c>
      <c r="S22" s="844" t="str">
        <f>IF(F25,"",IF((C22=0),0,E28))</f>
        <v/>
      </c>
      <c r="T22" s="827" t="str">
        <f>IF(F25,"","=")</f>
        <v/>
      </c>
      <c r="U22" s="844" t="str">
        <f>IF(F25,"",IF((C22=0),0,(Q22*S22)))</f>
        <v/>
      </c>
      <c r="V22" s="846">
        <f ca="1">IF((U22=""),E22,U22)*(1-IF((L27=""),0,L27))</f>
        <v>0</v>
      </c>
      <c r="W22" s="827">
        <f>IF((C22=0),0,(V22/C22))</f>
        <v>0</v>
      </c>
    </row>
    <row r="23" spans="1:71" x14ac:dyDescent="0.2">
      <c r="A23" s="848" t="s">
        <v>972</v>
      </c>
      <c r="B23" s="827"/>
      <c r="C23" s="841"/>
      <c r="D23" s="827"/>
      <c r="E23" s="842">
        <f ca="1">((ROUND(((VLOOKUP(SUM(C22:C23),INDIRECT((A23&amp;"Brackets")),3,1)*SUM(C22:C23))+VLOOKUP(SUM(C22:C23),INDIRECT((A23&amp;"Brackets")),4,1)),0))/IF((SUM(C22:C23)=0),1,SUM(C22:C23)))*C23</f>
        <v>0</v>
      </c>
      <c r="F23" s="843" t="b">
        <f>OR(SUM(C22:C23)=0,SUM(C22:C23)&gt;=350,SUM(C22:C23)=SUM(C20:C23))</f>
        <v>1</v>
      </c>
      <c r="G23" s="844">
        <f ca="1">IF(F25,IF((SUM(C22:C23)&gt;0),(((ROUND(((VLOOKUP(SUM(C22:C23),INDIRECT((G18&amp;"Brackets")),3,1)*SUM(C22:C23))+VLOOKUP(SUM(C22:C23),INDIRECT((G18&amp;"Brackets")),4,1)),0))/SUM(C22:C23))*C23),0),"")</f>
        <v>0</v>
      </c>
      <c r="H23" s="844">
        <f ca="1">IF(F25,IF((SUM(C22:C23)&gt;0),(((ROUND(((VLOOKUP(SUM(C22:C23),INDIRECT((H18&amp;"Brackets")),3,1)*SUM(C22:C23))+VLOOKUP(SUM(C22:C23),INDIRECT((H18&amp;"Brackets")),4,1)),0))/SUM(C22:C23))*C23),0),"")</f>
        <v>0</v>
      </c>
      <c r="I23" s="844">
        <f ca="1">IF(F25,IF((SUM(C22:C23)&gt;0),(((ROUND(((VLOOKUP(SUM(C22:C23),INDIRECT((I18&amp;"Brackets")),3,1)*SUM(C22:C23))+VLOOKUP(SUM(C22:C23),INDIRECT((I18&amp;"Brackets")),4,1)),0))/SUM(C22:C23))*C23),0),"")</f>
        <v>0</v>
      </c>
      <c r="J23" s="844">
        <f ca="1">IF(F25,IF((SUM(C22:C23)&gt;0),(((ROUND(((VLOOKUP(SUM(C22:C23),INDIRECT((J18&amp;"Brackets")),3,1)*SUM(C22:C23))+VLOOKUP(SUM(C22:C23),INDIRECT((J18&amp;"Brackets")),4,1)),0))/SUM(C22:C23))*C23),0),"")</f>
        <v>0</v>
      </c>
      <c r="K23" s="844">
        <f ca="1">IF(F25,IF((SUM(C22:C23)&gt;0),(((ROUND(((VLOOKUP(SUM(C22:C23),INDIRECT((K18&amp;"Brackets")),3,1)*SUM(C22:C23))+VLOOKUP(SUM(C22:C23),INDIRECT((K18&amp;"Brackets")),4,1)),0))/SUM(C22:C23))*C23),0),"")</f>
        <v>0</v>
      </c>
      <c r="L23" s="827"/>
      <c r="M23" s="827"/>
      <c r="N23" s="827"/>
      <c r="O23" s="1029"/>
      <c r="P23" s="1029"/>
      <c r="Q23" s="845" t="str">
        <f>IF(F25,"",IF((C23=0),0,(E23/E25)))</f>
        <v/>
      </c>
      <c r="R23" s="827" t="str">
        <f>IF(F25,"","×")</f>
        <v/>
      </c>
      <c r="S23" s="844" t="str">
        <f>IF(F25,"",IF((C23=0),0,E28))</f>
        <v/>
      </c>
      <c r="T23" s="827" t="str">
        <f>IF(F25,"","=")</f>
        <v/>
      </c>
      <c r="U23" s="844" t="str">
        <f>IF(F25,"",IF((C23=0),0,(Q23*S23)))</f>
        <v/>
      </c>
      <c r="V23" s="846">
        <f ca="1">IF((U23=""),E23,U23)*(1-IF((L27=""),0,L27))</f>
        <v>0</v>
      </c>
      <c r="W23" s="827">
        <f>IF((C23=0),0,(V23/C23))</f>
        <v>0</v>
      </c>
    </row>
    <row r="24" spans="1:71" ht="26.25" thickBot="1" x14ac:dyDescent="0.25">
      <c r="A24" s="849" t="s">
        <v>973</v>
      </c>
      <c r="B24" s="850" t="s">
        <v>974</v>
      </c>
      <c r="C24" s="851"/>
      <c r="D24" s="850" t="s">
        <v>974</v>
      </c>
      <c r="E24" s="852"/>
      <c r="F24" s="852"/>
      <c r="G24" s="833"/>
      <c r="H24" s="833"/>
      <c r="I24" s="833"/>
      <c r="J24" s="833"/>
      <c r="K24" s="833"/>
      <c r="L24" s="833"/>
      <c r="M24" s="853"/>
      <c r="N24" s="853"/>
      <c r="O24" s="853"/>
      <c r="P24" s="853"/>
      <c r="Q24" s="833"/>
      <c r="R24" s="853"/>
      <c r="S24" s="833"/>
      <c r="T24" s="853"/>
      <c r="U24" s="833"/>
      <c r="V24" s="854">
        <f ca="1">((ROUND(((VLOOKUP(SUM(C22:C23),INDIRECT((A24&amp;"Brackets")),3,1)*SUM(C22:C23))+VLOOKUP(SUM(C22:C23),INDIRECT((A24&amp;"Brackets")),4,1)),0))/IF((SUM(C22:C23)=0),1,SUM(C22:C23)))*C23</f>
        <v>0</v>
      </c>
      <c r="W24" s="855">
        <f>IF((C23=0),0,(V24/C23))</f>
        <v>0</v>
      </c>
    </row>
    <row r="25" spans="1:71" x14ac:dyDescent="0.2">
      <c r="A25" s="856" t="s">
        <v>975</v>
      </c>
      <c r="B25" s="827"/>
      <c r="C25" s="857">
        <f>SUM(C20:C23)</f>
        <v>450</v>
      </c>
      <c r="D25" s="827"/>
      <c r="E25" s="857">
        <f ca="1">IF((C25=""),"",SUM(E20:E23))</f>
        <v>67950</v>
      </c>
      <c r="F25" s="858" t="b">
        <f>AND(F20:F23)</f>
        <v>1</v>
      </c>
      <c r="G25" s="859">
        <f ca="1">IF(F25,SUM(G20:G23),"")</f>
        <v>54840</v>
      </c>
      <c r="H25" s="859">
        <f ca="1">IF(F25,SUM(H20:H23),"")</f>
        <v>67950</v>
      </c>
      <c r="I25" s="859">
        <f ca="1">IF(F25,SUM(I20:I23),"")</f>
        <v>81000</v>
      </c>
      <c r="J25" s="859">
        <f ca="1">IF(F25,SUM(J20:J23),"")</f>
        <v>49047</v>
      </c>
      <c r="K25" s="859">
        <f ca="1">IF(F25,SUM(K20:K23),"")</f>
        <v>75000</v>
      </c>
      <c r="L25" s="859">
        <f ca="1">IF(F25,ROUND((E25*L27),0),"")</f>
        <v>0</v>
      </c>
      <c r="M25" s="860"/>
      <c r="N25" s="853"/>
      <c r="O25" s="853"/>
      <c r="P25" s="853"/>
      <c r="Q25" s="861" t="str">
        <f>IF(F25,"",SUM(Q20:Q23))</f>
        <v/>
      </c>
      <c r="R25" s="860"/>
      <c r="S25" s="858"/>
      <c r="T25" s="860"/>
      <c r="U25" s="859" t="str">
        <f>IF(F25,"",SUM(U20:U23))</f>
        <v/>
      </c>
      <c r="V25" s="838"/>
      <c r="W25" s="838"/>
    </row>
    <row r="26" spans="1:71" x14ac:dyDescent="0.2">
      <c r="A26" s="862" t="str">
        <f>IF(F25,"Combined","")</f>
        <v>Combined</v>
      </c>
      <c r="B26" s="827"/>
      <c r="C26" s="863">
        <f>IF(F25,C25,"")</f>
        <v>450</v>
      </c>
      <c r="D26" s="827"/>
      <c r="E26" s="827"/>
      <c r="F26" s="827"/>
      <c r="G26" s="844">
        <f ca="1">IF(F25,IF((C26&gt;0),ROUND(((VLOOKUP(C26,INDIRECT((G18&amp;"Brackets")),3,1)*C26)+VLOOKUP(C26,INDIRECT((G18&amp;"Brackets")),4,1)),0),0),"")</f>
        <v>54840</v>
      </c>
      <c r="H26" s="844">
        <f ca="1">IF(F25,IF((C26&gt;0),ROUND(((VLOOKUP(C26,INDIRECT((H18&amp;"Brackets")),3,1)*C26)+VLOOKUP(C26,INDIRECT((H18&amp;"Brackets")),4,1)),0),0),"")</f>
        <v>67950</v>
      </c>
      <c r="I26" s="844">
        <f ca="1">IF(F25,IF((C26&gt;0),ROUND(((VLOOKUP(C26,INDIRECT((I18&amp;"Brackets")),3,1)*C26)+VLOOKUP(C26,INDIRECT((I18&amp;"Brackets")),4,1)),0),0),"")</f>
        <v>81000</v>
      </c>
      <c r="J26" s="844">
        <f ca="1">IF(F25,IF((C26&gt;0),ROUND(((VLOOKUP(C26,INDIRECT((J18&amp;"Brackets")),3,1)*C26)+VLOOKUP(C26,INDIRECT((J18&amp;"Brackets")),4,1)),0),0),"")</f>
        <v>49047</v>
      </c>
      <c r="K26" s="844">
        <f ca="1">IF(F25,IF((C26&gt;0),ROUND(((VLOOKUP(C26,INDIRECT((K18&amp;"Brackets")),3,1)*C26)+VLOOKUP(C26,INDIRECT((K18&amp;"Brackets")),4,1)),0),0),"")</f>
        <v>75000</v>
      </c>
      <c r="L26" s="844">
        <f ca="1">IF(F25,(E25-L25),"")</f>
        <v>67950</v>
      </c>
      <c r="M26" s="827"/>
      <c r="N26" s="827"/>
      <c r="O26" s="827"/>
      <c r="P26" s="827"/>
      <c r="Q26" s="827"/>
      <c r="R26" s="827"/>
      <c r="S26" s="827"/>
      <c r="T26" s="827"/>
      <c r="U26" s="827"/>
      <c r="V26" s="827"/>
      <c r="W26" s="827"/>
    </row>
    <row r="27" spans="1:71" x14ac:dyDescent="0.2">
      <c r="A27" s="862" t="str">
        <f>IF(F25,"Savings","")</f>
        <v>Savings</v>
      </c>
      <c r="B27" s="827"/>
      <c r="C27" s="827"/>
      <c r="D27" s="827"/>
      <c r="E27" s="827"/>
      <c r="F27" s="827"/>
      <c r="G27" s="845">
        <f ca="1">IF(F25,((G25-G26)/IF((G25=0),1,G25)),"")</f>
        <v>0</v>
      </c>
      <c r="H27" s="845">
        <f ca="1">IF(F25,((H25-H26)/IF((H25=0),1,H25)),"")</f>
        <v>0</v>
      </c>
      <c r="I27" s="845">
        <f ca="1">IF(F25,((I25-I26)/IF((I25=0),1,I25)),"")</f>
        <v>0</v>
      </c>
      <c r="J27" s="845">
        <f ca="1">IF(F25,((J25-J26)/IF((J25=0),1,J25)),"")</f>
        <v>0</v>
      </c>
      <c r="K27" s="845">
        <f ca="1">IF(F25,((K25-K26)/IF((K25=0),1,K25)),"")</f>
        <v>0</v>
      </c>
      <c r="L27" s="864">
        <f ca="1">IF(F25,(G27*C20+H27*C21+I27*C22+J27*C23)/IF(C25=0,1,C25),"")</f>
        <v>0</v>
      </c>
      <c r="M27" s="827"/>
      <c r="N27" s="827"/>
      <c r="O27" s="827"/>
      <c r="P27" s="827"/>
      <c r="Q27" s="827"/>
      <c r="R27" s="827"/>
      <c r="S27" s="827"/>
      <c r="T27" s="827"/>
      <c r="U27" s="827"/>
      <c r="V27" s="827"/>
      <c r="W27" s="827"/>
    </row>
    <row r="28" spans="1:71" x14ac:dyDescent="0.2">
      <c r="A28" s="1030" t="str">
        <f>IF(F25,"SF from Calculated Intuition","SF from Combination Chart")</f>
        <v>SF from Calculated Intuition</v>
      </c>
      <c r="B28" s="1030"/>
      <c r="C28" s="1030"/>
      <c r="D28" s="1030"/>
      <c r="E28" s="865">
        <f ca="1">IF(F25,L26,IF((C25=0),0,IF((C20=0),O21,IF((C21=0),P20,IF((SUM(C22:C23)=0),N20,P20)))))</f>
        <v>67950</v>
      </c>
      <c r="F28" s="866" t="s">
        <v>38</v>
      </c>
      <c r="G28" s="827"/>
      <c r="H28" s="827"/>
      <c r="I28" s="827"/>
      <c r="J28" s="866"/>
      <c r="K28" s="866"/>
      <c r="L28" s="866"/>
      <c r="M28" s="866"/>
      <c r="N28" s="866"/>
      <c r="O28" s="866"/>
      <c r="P28" s="866"/>
      <c r="Q28" s="866"/>
      <c r="R28" s="866"/>
      <c r="S28" s="866"/>
      <c r="T28" s="866"/>
      <c r="U28" s="866"/>
      <c r="V28" s="827"/>
      <c r="W28" s="827"/>
    </row>
    <row r="30" spans="1:71" x14ac:dyDescent="0.2">
      <c r="A30" s="1032" t="s">
        <v>978</v>
      </c>
      <c r="B30" s="1032"/>
      <c r="C30" s="1032"/>
      <c r="D30" s="1032"/>
      <c r="E30" s="1032"/>
      <c r="F30" s="1032"/>
      <c r="G30" s="1032"/>
      <c r="H30" s="1032"/>
      <c r="I30" s="1032"/>
      <c r="J30" s="1032"/>
      <c r="K30" s="1032"/>
      <c r="L30" s="1032"/>
      <c r="M30" s="1032"/>
      <c r="N30" s="1032"/>
      <c r="O30" s="1032"/>
      <c r="P30" s="1032"/>
      <c r="Q30" s="1032"/>
      <c r="R30" s="1032"/>
      <c r="S30" s="1032"/>
      <c r="T30" s="1032"/>
      <c r="U30" s="1032"/>
      <c r="V30" s="1032"/>
      <c r="W30" s="1032"/>
      <c r="AL30" s="879">
        <v>2013</v>
      </c>
    </row>
    <row r="31" spans="1:71" ht="13.5" thickBot="1" x14ac:dyDescent="0.25">
      <c r="A31" s="827"/>
      <c r="B31" s="827"/>
      <c r="C31" s="827"/>
      <c r="D31" s="827"/>
      <c r="E31" s="1026" t="s">
        <v>968</v>
      </c>
      <c r="F31" s="1026" t="s">
        <v>969</v>
      </c>
      <c r="G31" s="1031" t="str">
        <f>IF(F39,"Area If Built Separately for Same Numbers of…","")</f>
        <v>Area If Built Separately for Same Numbers of…</v>
      </c>
      <c r="H31" s="1031"/>
      <c r="I31" s="1031"/>
      <c r="J31" s="1031"/>
      <c r="K31" s="1031"/>
      <c r="L31" s="827"/>
      <c r="M31" s="827"/>
      <c r="N31" s="827"/>
      <c r="O31" s="827"/>
      <c r="P31" s="827"/>
      <c r="Q31" s="1026" t="str">
        <f>IF(F39,"","% SF per Grade Level")</f>
        <v/>
      </c>
      <c r="R31" s="827"/>
      <c r="S31" s="1026" t="str">
        <f>IF(F39,"","Combo Chart Area")</f>
        <v/>
      </c>
      <c r="T31" s="827"/>
      <c r="U31" s="1026" t="str">
        <f>IF(F39,"","Area per Grade Level")</f>
        <v/>
      </c>
      <c r="V31" s="827"/>
      <c r="W31" s="827"/>
    </row>
    <row r="32" spans="1:71" ht="39" thickBot="1" x14ac:dyDescent="0.25">
      <c r="A32" s="833" t="s">
        <v>970</v>
      </c>
      <c r="B32" s="827"/>
      <c r="C32" s="834" t="s">
        <v>971</v>
      </c>
      <c r="D32" s="827"/>
      <c r="E32" s="1026"/>
      <c r="F32" s="1026"/>
      <c r="G32" s="835" t="str">
        <f>IF(F39,"Elementary","")</f>
        <v>Elementary</v>
      </c>
      <c r="H32" s="835" t="str">
        <f>IF(F39,"Middle","")</f>
        <v>Middle</v>
      </c>
      <c r="I32" s="835" t="str">
        <f>IF(F39,"High","")</f>
        <v>High</v>
      </c>
      <c r="J32" s="835" t="str">
        <f>IF(F39,"CTCore","")</f>
        <v>CTCore</v>
      </c>
      <c r="K32" s="835" t="str">
        <f>IF(F39,"CTProgram","")</f>
        <v>CTProgram</v>
      </c>
      <c r="L32" s="835" t="str">
        <f>IF(F39,"Expected Savings","")</f>
        <v>Expected Savings</v>
      </c>
      <c r="M32" s="827"/>
      <c r="N32" s="836" t="str">
        <f>IF(F39,"","EM")</f>
        <v/>
      </c>
      <c r="O32" s="836" t="str">
        <f>IF(F39,"","MH")</f>
        <v/>
      </c>
      <c r="P32" s="836" t="str">
        <f>IF(F39,"","EMH")</f>
        <v/>
      </c>
      <c r="Q32" s="1026"/>
      <c r="R32" s="827"/>
      <c r="S32" s="1026"/>
      <c r="T32" s="827"/>
      <c r="U32" s="1026"/>
      <c r="V32" s="835" t="s">
        <v>38</v>
      </c>
      <c r="W32" s="835" t="s">
        <v>91</v>
      </c>
    </row>
    <row r="33" spans="1:23" x14ac:dyDescent="0.2">
      <c r="A33" s="838"/>
      <c r="B33" s="827"/>
      <c r="C33" s="839"/>
      <c r="D33" s="827"/>
      <c r="E33" s="839"/>
      <c r="F33" s="838"/>
      <c r="G33" s="838"/>
      <c r="H33" s="838"/>
      <c r="I33" s="838"/>
      <c r="J33" s="838"/>
      <c r="K33" s="838"/>
      <c r="L33" s="838"/>
      <c r="M33" s="827"/>
      <c r="N33" s="827"/>
      <c r="O33" s="827"/>
      <c r="P33" s="827"/>
      <c r="Q33" s="838"/>
      <c r="R33" s="827"/>
      <c r="S33" s="838"/>
      <c r="T33" s="827"/>
      <c r="U33" s="838"/>
      <c r="V33" s="838"/>
      <c r="W33" s="838"/>
    </row>
    <row r="34" spans="1:23" x14ac:dyDescent="0.2">
      <c r="A34" s="840" t="s">
        <v>956</v>
      </c>
      <c r="B34" s="827"/>
      <c r="C34" s="841"/>
      <c r="D34" s="827"/>
      <c r="E34" s="842">
        <f ca="1">ROUND(((VLOOKUP(C34,INDIRECT((A34&amp;"Brackets")),3,1)*C34)+VLOOKUP(C34,INDIRECT((A34&amp;"Brackets")),4,1)),0)</f>
        <v>0</v>
      </c>
      <c r="F34" s="843" t="b">
        <f>OR(C34=0,C34&gt;=350,C34=SUM(C34:C37))</f>
        <v>1</v>
      </c>
      <c r="G34" s="844">
        <f ca="1">IF(F39,IF((C34&gt;0),ROUND(((VLOOKUP(C34,INDIRECT((G32&amp;"Brackets")),3,1)*C34)+VLOOKUP(C34,INDIRECT((G32&amp;"Brackets")),4,1)),0),0),"")</f>
        <v>0</v>
      </c>
      <c r="H34" s="844">
        <f ca="1">IF(F39,IF((C34&gt;0),ROUND(((VLOOKUP(C34,INDIRECT((H32&amp;"Brackets")),3,1)*C34)+VLOOKUP(C34,INDIRECT((H32&amp;"Brackets")),4,1)),0),0),"")</f>
        <v>0</v>
      </c>
      <c r="I34" s="844">
        <f ca="1">IF(F39,IF((C34&gt;0),ROUND(((VLOOKUP(C34,INDIRECT((I32&amp;"Brackets")),3,1)*C34)+VLOOKUP(C34,INDIRECT((I32&amp;"Brackets")),4,1)),0),0),"")</f>
        <v>0</v>
      </c>
      <c r="J34" s="844">
        <f ca="1">IF(F39,IF((C34&gt;0),ROUND(((VLOOKUP(C34,INDIRECT((J32&amp;"Brackets")),3,1)*C34)+VLOOKUP(C34,INDIRECT((J32&amp;"Brackets")),4,1)),0),0),"")</f>
        <v>0</v>
      </c>
      <c r="K34" s="844">
        <f ca="1">IF(F39,IF((C34&gt;0),ROUND(((VLOOKUP(C34,INDIRECT((K32&amp;"Brackets")),3,1)*C34)+VLOOKUP(C34,INDIRECT((K32&amp;"Brackets")),4,1)),0),0),"")</f>
        <v>0</v>
      </c>
      <c r="L34" s="827"/>
      <c r="M34" s="827"/>
      <c r="N34" s="1027" t="str">
        <f>IF(F39,"",ROUND(((VLOOKUP(SUM(C34:C35),EMBrackets,3,1)*SUM(C34:C35))+VLOOKUP(SUM(C34:C35),EMBrackets,4,1)),0))</f>
        <v/>
      </c>
      <c r="O34" s="827"/>
      <c r="P34" s="1028" t="str">
        <f>IF(F39,"",ROUND(((VLOOKUP(SUM(C34:C37),EMHBrackets,3,1)*SUM(C34:C37))+VLOOKUP(SUM(C34:C37),EMHBrackets,4,1)),0))</f>
        <v/>
      </c>
      <c r="Q34" s="845" t="str">
        <f>IF(F39,"",IF((C34=0),0,(E34/E39)))</f>
        <v/>
      </c>
      <c r="R34" s="827" t="str">
        <f>IF(F39,"","×")</f>
        <v/>
      </c>
      <c r="S34" s="844" t="str">
        <f>IF(F39,"",IF((C34=0),0,E42))</f>
        <v/>
      </c>
      <c r="T34" s="827" t="str">
        <f>IF(F39,"","=")</f>
        <v/>
      </c>
      <c r="U34" s="844" t="str">
        <f>IF(F39,"",IF((C34=0),0,(Q34*S34)))</f>
        <v/>
      </c>
      <c r="V34" s="846">
        <f ca="1">IF((U34=""),E34,U34)*(1-IF((L41=""),0,L41))</f>
        <v>0</v>
      </c>
      <c r="W34" s="827">
        <f>IF((C34=0),0,(V34/C34))</f>
        <v>0</v>
      </c>
    </row>
    <row r="35" spans="1:23" x14ac:dyDescent="0.2">
      <c r="A35" s="847" t="s">
        <v>957</v>
      </c>
      <c r="B35" s="827"/>
      <c r="C35" s="841"/>
      <c r="D35" s="827"/>
      <c r="E35" s="842">
        <f ca="1">ROUND(((VLOOKUP(C35,INDIRECT((A35&amp;"Brackets")),3,1)*C35)+VLOOKUP(C35,INDIRECT((A35&amp;"Brackets")),4,1)),0)</f>
        <v>0</v>
      </c>
      <c r="F35" s="843" t="b">
        <f>OR(C35=0,C35&gt;=350,C35=SUM(C34:C37))</f>
        <v>1</v>
      </c>
      <c r="G35" s="844">
        <f ca="1">IF(F39,IF((C35&gt;0),ROUND(((VLOOKUP(C35,INDIRECT((G32&amp;"Brackets")),3,1)*C35)+VLOOKUP(C35,INDIRECT((G32&amp;"Brackets")),4,1)),0),0),"")</f>
        <v>0</v>
      </c>
      <c r="H35" s="844">
        <f ca="1">IF(F39,IF((C35&gt;0),ROUND(((VLOOKUP(C35,INDIRECT((H32&amp;"Brackets")),3,1)*C35)+VLOOKUP(C35,INDIRECT((H32&amp;"Brackets")),4,1)),0),0),"")</f>
        <v>0</v>
      </c>
      <c r="I35" s="844">
        <f ca="1">IF(F39,IF((C35&gt;0),ROUND(((VLOOKUP(C35,INDIRECT((I32&amp;"Brackets")),3,1)*C35)+VLOOKUP(C35,INDIRECT((I32&amp;"Brackets")),4,1)),0),0),"")</f>
        <v>0</v>
      </c>
      <c r="J35" s="844">
        <f ca="1">IF(F39,IF((C35&gt;0),ROUND(((VLOOKUP(C35,INDIRECT((J32&amp;"Brackets")),3,1)*C35)+VLOOKUP(C35,INDIRECT((J32&amp;"Brackets")),4,1)),0),0),"")</f>
        <v>0</v>
      </c>
      <c r="K35" s="844">
        <f ca="1">IF(F39,IF((C35&gt;0),ROUND(((VLOOKUP(C35,INDIRECT((K32&amp;"Brackets")),3,1)*C35)+VLOOKUP(C35,INDIRECT((K32&amp;"Brackets")),4,1)),0),0),"")</f>
        <v>0</v>
      </c>
      <c r="L35" s="827"/>
      <c r="M35" s="827"/>
      <c r="N35" s="1027"/>
      <c r="O35" s="1029" t="str">
        <f>IF(F39,"",ROUND(((VLOOKUP(SUM(C35:C37),MHBrackets,3,1)*SUM(C35:C37))+VLOOKUP(SUM(C35:C37),MHBrackets,4,1)),0))</f>
        <v/>
      </c>
      <c r="P35" s="1028"/>
      <c r="Q35" s="845" t="str">
        <f>IF(F39,"",IF((C35=0),0,(E35/E39)))</f>
        <v/>
      </c>
      <c r="R35" s="827" t="str">
        <f>IF(F39,"","×")</f>
        <v/>
      </c>
      <c r="S35" s="844" t="str">
        <f>IF(F39,"",IF((C35=0),0,E42))</f>
        <v/>
      </c>
      <c r="T35" s="827" t="str">
        <f>IF(F39,"","=")</f>
        <v/>
      </c>
      <c r="U35" s="844" t="str">
        <f>IF(F39,"",IF((C35=0),0,(Q35*S35)))</f>
        <v/>
      </c>
      <c r="V35" s="846">
        <f ca="1">IF((U35=""),E35,U35)*(1-IF((L41=""),0,L41))</f>
        <v>0</v>
      </c>
      <c r="W35" s="827">
        <f>IF((C35=0),0,(V35/C35))</f>
        <v>0</v>
      </c>
    </row>
    <row r="36" spans="1:23" x14ac:dyDescent="0.2">
      <c r="A36" s="848" t="s">
        <v>958</v>
      </c>
      <c r="B36" s="827"/>
      <c r="C36" s="841">
        <f>'2300 H-SCLE'!G15</f>
        <v>2400</v>
      </c>
      <c r="D36" s="827"/>
      <c r="E36" s="842">
        <f ca="1">((ROUND(((VLOOKUP(SUM(C36:C37),INDIRECT((A36&amp;"Brackets")),3,1)*SUM(C36:C37))+VLOOKUP(SUM(C36:C37),INDIRECT((A36&amp;"Brackets")),4,1)),0))/IF((SUM(C36:C37)=0),1,SUM(C36:C37)))*C36</f>
        <v>374400</v>
      </c>
      <c r="F36" s="843" t="b">
        <f>OR(SUM(C36:C37)=0,SUM(C36:C37)&gt;=350,SUM(C36:C37)=SUM(C34:C37))</f>
        <v>1</v>
      </c>
      <c r="G36" s="844">
        <f ca="1">IF(F39,IF((SUM(C36:C37)&gt;0),(((ROUND(((VLOOKUP(SUM(C36:C37),INDIRECT((G32&amp;"Brackets")),3,1)*SUM(C36:C37))+VLOOKUP(SUM(C36:C37),INDIRECT((G32&amp;"Brackets")),4,1)),0))/SUM(C36:C37))*C36),0),"")</f>
        <v>250059</v>
      </c>
      <c r="H36" s="844">
        <f ca="1">IF(F39,IF((SUM(C36:C37)&gt;0),(((ROUND(((VLOOKUP(SUM(C36:C37),INDIRECT((H32&amp;"Brackets")),3,1)*SUM(C36:C37))+VLOOKUP(SUM(C36:C37),INDIRECT((H32&amp;"Brackets")),4,1)),0))/SUM(C36:C37))*C36),0),"")</f>
        <v>286690</v>
      </c>
      <c r="I36" s="844">
        <f ca="1">IF(F39,IF((SUM(C36:C37)&gt;0),(((ROUND(((VLOOKUP(SUM(C36:C37),INDIRECT((I32&amp;"Brackets")),3,1)*SUM(C36:C37))+VLOOKUP(SUM(C36:C37),INDIRECT((I32&amp;"Brackets")),4,1)),0))/SUM(C36:C37))*C36),0),"")</f>
        <v>374400</v>
      </c>
      <c r="J36" s="844">
        <f ca="1">IF(F39,IF((SUM(C36:C37)&gt;0),(((ROUND(((VLOOKUP(SUM(C36:C37),INDIRECT((J32&amp;"Brackets")),3,1)*SUM(C36:C37))+VLOOKUP(SUM(C36:C37),INDIRECT((J32&amp;"Brackets")),4,1)),0))/SUM(C36:C37))*C36),0),"")</f>
        <v>228000</v>
      </c>
      <c r="K36" s="844">
        <f ca="1">IF(F39,IF((SUM(C36:C37)&gt;0),(((ROUND(((VLOOKUP(SUM(C36:C37),INDIRECT((K32&amp;"Brackets")),3,1)*SUM(C36:C37))+VLOOKUP(SUM(C36:C37),INDIRECT((K32&amp;"Brackets")),4,1)),0))/SUM(C36:C37))*C36),0),"")</f>
        <v>326400</v>
      </c>
      <c r="L36" s="827"/>
      <c r="M36" s="827"/>
      <c r="N36" s="827"/>
      <c r="O36" s="1029"/>
      <c r="P36" s="1029"/>
      <c r="Q36" s="845" t="str">
        <f>IF(F39,"",IF((C36=0),0,(E36/E39)))</f>
        <v/>
      </c>
      <c r="R36" s="827" t="str">
        <f>IF(F39,"","×")</f>
        <v/>
      </c>
      <c r="S36" s="844" t="str">
        <f>IF(F39,"",IF((C36=0),0,E42))</f>
        <v/>
      </c>
      <c r="T36" s="827" t="str">
        <f>IF(F39,"","=")</f>
        <v/>
      </c>
      <c r="U36" s="844" t="str">
        <f>IF(F39,"",IF((C36=0),0,(Q36*S36)))</f>
        <v/>
      </c>
      <c r="V36" s="846">
        <f ca="1">IF((U36=""),E36,U36)*(1-IF((L41=""),0,L41))</f>
        <v>374400</v>
      </c>
      <c r="W36" s="827">
        <f ca="1">IF((C36=0),0,(V36/C36))</f>
        <v>156</v>
      </c>
    </row>
    <row r="37" spans="1:23" x14ac:dyDescent="0.2">
      <c r="A37" s="848" t="s">
        <v>972</v>
      </c>
      <c r="B37" s="827"/>
      <c r="C37" s="841"/>
      <c r="D37" s="827"/>
      <c r="E37" s="842">
        <f ca="1">((ROUND(((VLOOKUP(SUM(C36:C37),INDIRECT((A37&amp;"Brackets")),3,1)*SUM(C36:C37))+VLOOKUP(SUM(C36:C37),INDIRECT((A37&amp;"Brackets")),4,1)),0))/IF((SUM(C36:C37)=0),1,SUM(C36:C37)))*C37</f>
        <v>0</v>
      </c>
      <c r="F37" s="843" t="b">
        <f>OR(SUM(C36:C37)=0,SUM(C36:C37)&gt;=350,SUM(C36:C37)=SUM(C34:C37))</f>
        <v>1</v>
      </c>
      <c r="G37" s="844">
        <f ca="1">IF(F39,IF((SUM(C36:C37)&gt;0),(((ROUND(((VLOOKUP(SUM(C36:C37),INDIRECT((G32&amp;"Brackets")),3,1)*SUM(C36:C37))+VLOOKUP(SUM(C36:C37),INDIRECT((G32&amp;"Brackets")),4,1)),0))/SUM(C36:C37))*C37),0),"")</f>
        <v>0</v>
      </c>
      <c r="H37" s="844">
        <f ca="1">IF(F39,IF((SUM(C36:C37)&gt;0),(((ROUND(((VLOOKUP(SUM(C36:C37),INDIRECT((H32&amp;"Brackets")),3,1)*SUM(C36:C37))+VLOOKUP(SUM(C36:C37),INDIRECT((H32&amp;"Brackets")),4,1)),0))/SUM(C36:C37))*C37),0),"")</f>
        <v>0</v>
      </c>
      <c r="I37" s="844">
        <f ca="1">IF(F39,IF((SUM(C36:C37)&gt;0),(((ROUND(((VLOOKUP(SUM(C36:C37),INDIRECT((I32&amp;"Brackets")),3,1)*SUM(C36:C37))+VLOOKUP(SUM(C36:C37),INDIRECT((I32&amp;"Brackets")),4,1)),0))/SUM(C36:C37))*C37),0),"")</f>
        <v>0</v>
      </c>
      <c r="J37" s="844">
        <f ca="1">IF(F39,IF((SUM(C36:C37)&gt;0),(((ROUND(((VLOOKUP(SUM(C36:C37),INDIRECT((J32&amp;"Brackets")),3,1)*SUM(C36:C37))+VLOOKUP(SUM(C36:C37),INDIRECT((J32&amp;"Brackets")),4,1)),0))/SUM(C36:C37))*C37),0),"")</f>
        <v>0</v>
      </c>
      <c r="K37" s="844">
        <f ca="1">IF(F39,IF((SUM(C36:C37)&gt;0),(((ROUND(((VLOOKUP(SUM(C36:C37),INDIRECT((K32&amp;"Brackets")),3,1)*SUM(C36:C37))+VLOOKUP(SUM(C36:C37),INDIRECT((K32&amp;"Brackets")),4,1)),0))/SUM(C36:C37))*C37),0),"")</f>
        <v>0</v>
      </c>
      <c r="L37" s="827"/>
      <c r="M37" s="827"/>
      <c r="N37" s="827"/>
      <c r="O37" s="1029"/>
      <c r="P37" s="1029"/>
      <c r="Q37" s="845" t="str">
        <f>IF(F39,"",IF((C37=0),0,(E37/E39)))</f>
        <v/>
      </c>
      <c r="R37" s="827" t="str">
        <f>IF(F39,"","×")</f>
        <v/>
      </c>
      <c r="S37" s="844" t="str">
        <f>IF(F39,"",IF((C37=0),0,E42))</f>
        <v/>
      </c>
      <c r="T37" s="827" t="str">
        <f>IF(F39,"","=")</f>
        <v/>
      </c>
      <c r="U37" s="844" t="str">
        <f>IF(F39,"",IF((C37=0),0,(Q37*S37)))</f>
        <v/>
      </c>
      <c r="V37" s="846">
        <f ca="1">IF((U37=""),E37,U37)*(1-IF((L41=""),0,L41))</f>
        <v>0</v>
      </c>
      <c r="W37" s="827">
        <f>IF((C37=0),0,(V37/C37))</f>
        <v>0</v>
      </c>
    </row>
    <row r="38" spans="1:23" ht="26.25" thickBot="1" x14ac:dyDescent="0.25">
      <c r="A38" s="849" t="s">
        <v>973</v>
      </c>
      <c r="B38" s="850" t="s">
        <v>974</v>
      </c>
      <c r="C38" s="851"/>
      <c r="D38" s="850" t="s">
        <v>974</v>
      </c>
      <c r="E38" s="852"/>
      <c r="F38" s="852"/>
      <c r="G38" s="833"/>
      <c r="H38" s="833"/>
      <c r="I38" s="833"/>
      <c r="J38" s="833"/>
      <c r="K38" s="833"/>
      <c r="L38" s="833"/>
      <c r="M38" s="853"/>
      <c r="N38" s="853"/>
      <c r="O38" s="853"/>
      <c r="P38" s="853"/>
      <c r="Q38" s="833"/>
      <c r="R38" s="853"/>
      <c r="S38" s="833"/>
      <c r="T38" s="853"/>
      <c r="U38" s="833"/>
      <c r="V38" s="854">
        <f ca="1">((ROUND(((VLOOKUP(SUM(C36:C37),INDIRECT((A38&amp;"Brackets")),3,1)*SUM(C36:C37))+VLOOKUP(SUM(C36:C37),INDIRECT((A38&amp;"Brackets")),4,1)),0))/IF((SUM(C36:C37)=0),1,SUM(C36:C37)))*C37</f>
        <v>0</v>
      </c>
      <c r="W38" s="855">
        <f>IF((C37=0),0,(V38/C37))</f>
        <v>0</v>
      </c>
    </row>
    <row r="39" spans="1:23" x14ac:dyDescent="0.2">
      <c r="A39" s="856" t="s">
        <v>975</v>
      </c>
      <c r="B39" s="827"/>
      <c r="C39" s="857">
        <f>SUM(C34:C37)</f>
        <v>2400</v>
      </c>
      <c r="D39" s="827"/>
      <c r="E39" s="857">
        <f ca="1">IF((C39=""),"",SUM(E34:E37))</f>
        <v>374400</v>
      </c>
      <c r="F39" s="858" t="b">
        <f>AND(F34:F37)</f>
        <v>1</v>
      </c>
      <c r="G39" s="859">
        <f ca="1">IF(F39,SUM(G34:G37),"")</f>
        <v>250059</v>
      </c>
      <c r="H39" s="859">
        <f ca="1">IF(F39,SUM(H34:H37),"")</f>
        <v>286690</v>
      </c>
      <c r="I39" s="859">
        <f ca="1">IF(F39,SUM(I34:I37),"")</f>
        <v>374400</v>
      </c>
      <c r="J39" s="859">
        <f ca="1">IF(F39,SUM(J34:J37),"")</f>
        <v>228000</v>
      </c>
      <c r="K39" s="859">
        <f ca="1">IF(F39,SUM(K34:K37),"")</f>
        <v>326400</v>
      </c>
      <c r="L39" s="859">
        <f ca="1">IF(F39,ROUND((E39*L41),0),"")</f>
        <v>0</v>
      </c>
      <c r="M39" s="860"/>
      <c r="N39" s="853"/>
      <c r="O39" s="853"/>
      <c r="P39" s="853"/>
      <c r="Q39" s="861" t="str">
        <f>IF(F39,"",SUM(Q34:Q37))</f>
        <v/>
      </c>
      <c r="R39" s="860"/>
      <c r="S39" s="858"/>
      <c r="T39" s="860"/>
      <c r="U39" s="859" t="str">
        <f>IF(F39,"",SUM(U34:U37))</f>
        <v/>
      </c>
      <c r="V39" s="838"/>
      <c r="W39" s="838"/>
    </row>
    <row r="40" spans="1:23" x14ac:dyDescent="0.2">
      <c r="A40" s="862" t="str">
        <f>IF(F39,"Combined","")</f>
        <v>Combined</v>
      </c>
      <c r="B40" s="827"/>
      <c r="C40" s="863">
        <f>IF(F39,C39,"")</f>
        <v>2400</v>
      </c>
      <c r="D40" s="827"/>
      <c r="E40" s="827"/>
      <c r="F40" s="827"/>
      <c r="G40" s="844">
        <f ca="1">IF(F39,IF((C40&gt;0),ROUND(((VLOOKUP(C40,INDIRECT((G32&amp;"Brackets")),3,1)*C40)+VLOOKUP(C40,INDIRECT((G32&amp;"Brackets")),4,1)),0),0),"")</f>
        <v>250059</v>
      </c>
      <c r="H40" s="844">
        <f ca="1">IF(F39,IF((C40&gt;0),ROUND(((VLOOKUP(C40,INDIRECT((H32&amp;"Brackets")),3,1)*C40)+VLOOKUP(C40,INDIRECT((H32&amp;"Brackets")),4,1)),0),0),"")</f>
        <v>286690</v>
      </c>
      <c r="I40" s="844">
        <f ca="1">IF(F39,IF((C40&gt;0),ROUND(((VLOOKUP(C40,INDIRECT((I32&amp;"Brackets")),3,1)*C40)+VLOOKUP(C40,INDIRECT((I32&amp;"Brackets")),4,1)),0),0),"")</f>
        <v>374400</v>
      </c>
      <c r="J40" s="844">
        <f ca="1">IF(F39,IF((C40&gt;0),ROUND(((VLOOKUP(C40,INDIRECT((J32&amp;"Brackets")),3,1)*C40)+VLOOKUP(C40,INDIRECT((J32&amp;"Brackets")),4,1)),0),0),"")</f>
        <v>228000</v>
      </c>
      <c r="K40" s="844">
        <f ca="1">IF(F39,IF((C40&gt;0),ROUND(((VLOOKUP(C40,INDIRECT((K32&amp;"Brackets")),3,1)*C40)+VLOOKUP(C40,INDIRECT((K32&amp;"Brackets")),4,1)),0),0),"")</f>
        <v>326400</v>
      </c>
      <c r="L40" s="844">
        <f ca="1">IF(F39,(E39-L39),"")</f>
        <v>374400</v>
      </c>
      <c r="M40" s="827"/>
      <c r="N40" s="827"/>
      <c r="O40" s="827"/>
      <c r="P40" s="827"/>
      <c r="Q40" s="827"/>
      <c r="R40" s="827"/>
      <c r="S40" s="827"/>
      <c r="T40" s="827"/>
      <c r="U40" s="827"/>
      <c r="V40" s="827"/>
      <c r="W40" s="827"/>
    </row>
    <row r="41" spans="1:23" x14ac:dyDescent="0.2">
      <c r="A41" s="862" t="str">
        <f>IF(F39,"Savings","")</f>
        <v>Savings</v>
      </c>
      <c r="B41" s="827"/>
      <c r="C41" s="827"/>
      <c r="D41" s="827"/>
      <c r="E41" s="827"/>
      <c r="F41" s="827"/>
      <c r="G41" s="845">
        <f ca="1">IF(F39,((G39-G40)/IF((G39=0),1,G39)),"")</f>
        <v>0</v>
      </c>
      <c r="H41" s="845">
        <f ca="1">IF(F39,((H39-H40)/IF((H39=0),1,H39)),"")</f>
        <v>0</v>
      </c>
      <c r="I41" s="845">
        <f ca="1">IF(F39,((I39-I40)/IF((I39=0),1,I39)),"")</f>
        <v>0</v>
      </c>
      <c r="J41" s="845">
        <f ca="1">IF(F39,((J39-J40)/IF((J39=0),1,J39)),"")</f>
        <v>0</v>
      </c>
      <c r="K41" s="845">
        <f ca="1">IF(F39,((K39-K40)/IF((K39=0),1,K39)),"")</f>
        <v>0</v>
      </c>
      <c r="L41" s="864">
        <f ca="1">IF(F39,(G41*C34+H41*C35+I41*C36+J41*C37)/IF(C39=0,1,C39),"")</f>
        <v>0</v>
      </c>
      <c r="M41" s="827"/>
      <c r="N41" s="827"/>
      <c r="O41" s="827"/>
      <c r="P41" s="827"/>
      <c r="Q41" s="827"/>
      <c r="R41" s="827"/>
      <c r="S41" s="827"/>
      <c r="T41" s="827"/>
      <c r="U41" s="827"/>
      <c r="V41" s="827"/>
      <c r="W41" s="827"/>
    </row>
    <row r="42" spans="1:23" x14ac:dyDescent="0.2">
      <c r="A42" s="1030" t="str">
        <f>IF(F39,"SF from Calculated Intuition","SF from Combination Chart")</f>
        <v>SF from Calculated Intuition</v>
      </c>
      <c r="B42" s="1030"/>
      <c r="C42" s="1030"/>
      <c r="D42" s="1030"/>
      <c r="E42" s="865">
        <f ca="1">IF(F39,L40,IF((C39=0),0,IF((C34=0),O35,IF((C35=0),P34,IF((SUM(C36:C37)=0),N34,P34)))))</f>
        <v>374400</v>
      </c>
      <c r="F42" s="866" t="s">
        <v>38</v>
      </c>
      <c r="G42" s="827"/>
      <c r="H42" s="827"/>
      <c r="I42" s="827"/>
      <c r="J42" s="866"/>
      <c r="K42" s="866"/>
      <c r="L42" s="866"/>
      <c r="M42" s="866"/>
      <c r="N42" s="866"/>
      <c r="O42" s="866"/>
      <c r="P42" s="866"/>
      <c r="Q42" s="866"/>
      <c r="R42" s="866"/>
      <c r="S42" s="866"/>
      <c r="T42" s="866"/>
      <c r="U42" s="866"/>
      <c r="V42" s="827"/>
      <c r="W42" s="827"/>
    </row>
    <row r="44" spans="1:23" x14ac:dyDescent="0.2">
      <c r="A44" s="1032" t="s">
        <v>977</v>
      </c>
      <c r="B44" s="1032"/>
      <c r="C44" s="1032"/>
      <c r="D44" s="1032"/>
      <c r="E44" s="1032"/>
      <c r="F44" s="1032"/>
      <c r="G44" s="1032"/>
      <c r="H44" s="1032"/>
      <c r="I44" s="1032"/>
      <c r="J44" s="1032"/>
      <c r="K44" s="1032"/>
      <c r="L44" s="1032"/>
      <c r="M44" s="1032"/>
      <c r="N44" s="1032"/>
      <c r="O44" s="1032"/>
      <c r="P44" s="1032"/>
      <c r="Q44" s="1032"/>
      <c r="R44" s="1032"/>
      <c r="S44" s="1032"/>
      <c r="T44" s="1032"/>
      <c r="U44" s="1032"/>
      <c r="V44" s="1032"/>
      <c r="W44" s="1032"/>
    </row>
    <row r="45" spans="1:23" ht="13.5" thickBot="1" x14ac:dyDescent="0.25">
      <c r="A45" s="827"/>
      <c r="B45" s="827"/>
      <c r="C45" s="827"/>
      <c r="D45" s="827"/>
      <c r="E45" s="1026" t="s">
        <v>968</v>
      </c>
      <c r="F45" s="1026" t="s">
        <v>969</v>
      </c>
      <c r="G45" s="1031" t="str">
        <f>IF(F53,"Area If Built Separately for Same Numbers of…","")</f>
        <v/>
      </c>
      <c r="H45" s="1031"/>
      <c r="I45" s="1031"/>
      <c r="J45" s="1031"/>
      <c r="K45" s="1031"/>
      <c r="L45" s="827"/>
      <c r="M45" s="827"/>
      <c r="N45" s="827"/>
      <c r="O45" s="827"/>
      <c r="P45" s="827"/>
      <c r="Q45" s="1026" t="str">
        <f>IF(F53,"","% SF per Grade Level")</f>
        <v>% SF per Grade Level</v>
      </c>
      <c r="R45" s="827"/>
      <c r="S45" s="1026" t="str">
        <f>IF(F53,"","Combo Chart Area")</f>
        <v>Combo Chart Area</v>
      </c>
      <c r="T45" s="827"/>
      <c r="U45" s="1026" t="str">
        <f>IF(F53,"","Area per Grade Level")</f>
        <v>Area per Grade Level</v>
      </c>
      <c r="V45" s="827"/>
      <c r="W45" s="827"/>
    </row>
    <row r="46" spans="1:23" ht="26.25" thickBot="1" x14ac:dyDescent="0.25">
      <c r="A46" s="833" t="s">
        <v>970</v>
      </c>
      <c r="B46" s="827"/>
      <c r="C46" s="834" t="s">
        <v>971</v>
      </c>
      <c r="D46" s="827"/>
      <c r="E46" s="1026"/>
      <c r="F46" s="1026"/>
      <c r="G46" s="835" t="str">
        <f>IF(F53,"Elementary","")</f>
        <v/>
      </c>
      <c r="H46" s="835" t="str">
        <f>IF(F53,"Middle","")</f>
        <v/>
      </c>
      <c r="I46" s="835" t="str">
        <f>IF(F53,"High","")</f>
        <v/>
      </c>
      <c r="J46" s="835" t="str">
        <f>IF(F53,"CTCore","")</f>
        <v/>
      </c>
      <c r="K46" s="835" t="str">
        <f>IF(F53,"CTProgram","")</f>
        <v/>
      </c>
      <c r="L46" s="835" t="str">
        <f>IF(F53,"Expected Savings","")</f>
        <v/>
      </c>
      <c r="M46" s="827"/>
      <c r="N46" s="836" t="str">
        <f>IF(F53,"","EM")</f>
        <v>EM</v>
      </c>
      <c r="O46" s="836" t="str">
        <f>IF(F53,"","MH")</f>
        <v>MH</v>
      </c>
      <c r="P46" s="836" t="str">
        <f>IF(F53,"","EMH")</f>
        <v>EMH</v>
      </c>
      <c r="Q46" s="1026"/>
      <c r="R46" s="827"/>
      <c r="S46" s="1026"/>
      <c r="T46" s="827"/>
      <c r="U46" s="1026"/>
      <c r="V46" s="835" t="s">
        <v>38</v>
      </c>
      <c r="W46" s="835" t="s">
        <v>91</v>
      </c>
    </row>
    <row r="47" spans="1:23" x14ac:dyDescent="0.2">
      <c r="A47" s="838"/>
      <c r="B47" s="827"/>
      <c r="C47" s="839"/>
      <c r="D47" s="827"/>
      <c r="E47" s="839"/>
      <c r="F47" s="838"/>
      <c r="G47" s="838"/>
      <c r="H47" s="838"/>
      <c r="I47" s="838"/>
      <c r="J47" s="838"/>
      <c r="K47" s="838"/>
      <c r="L47" s="838"/>
      <c r="M47" s="827"/>
      <c r="N47" s="827"/>
      <c r="O47" s="827"/>
      <c r="P47" s="827"/>
      <c r="Q47" s="838"/>
      <c r="R47" s="827"/>
      <c r="S47" s="838"/>
      <c r="T47" s="827"/>
      <c r="U47" s="838"/>
      <c r="V47" s="838"/>
      <c r="W47" s="838"/>
    </row>
    <row r="48" spans="1:23" x14ac:dyDescent="0.2">
      <c r="A48" s="840" t="s">
        <v>956</v>
      </c>
      <c r="B48" s="827"/>
      <c r="C48" s="841">
        <f>'2400 COMBINATION-SCLE'!G16</f>
        <v>300</v>
      </c>
      <c r="D48" s="827"/>
      <c r="E48" s="842">
        <f ca="1">ROUND(((VLOOKUP(C48,INDIRECT((A48&amp;"Brackets")),3,1)*C48)+VLOOKUP(C48,INDIRECT((A48&amp;"Brackets")),4,1)),0)</f>
        <v>37500</v>
      </c>
      <c r="F48" s="843" t="b">
        <f>OR(C48=0,C48&gt;=350,C48=SUM(C48:C51))</f>
        <v>0</v>
      </c>
      <c r="G48" s="844" t="str">
        <f ca="1">IF(F53,IF((C48&gt;0),ROUND(((VLOOKUP(C48,INDIRECT((G46&amp;"Brackets")),3,1)*C48)+VLOOKUP(C48,INDIRECT((G46&amp;"Brackets")),4,1)),0),0),"")</f>
        <v/>
      </c>
      <c r="H48" s="844" t="str">
        <f ca="1">IF(F53,IF((C48&gt;0),ROUND(((VLOOKUP(C48,INDIRECT((H46&amp;"Brackets")),3,1)*C48)+VLOOKUP(C48,INDIRECT((H46&amp;"Brackets")),4,1)),0),0),"")</f>
        <v/>
      </c>
      <c r="I48" s="844" t="str">
        <f ca="1">IF(F53,IF((C48&gt;0),ROUND(((VLOOKUP(C48,INDIRECT((I46&amp;"Brackets")),3,1)*C48)+VLOOKUP(C48,INDIRECT((I46&amp;"Brackets")),4,1)),0),0),"")</f>
        <v/>
      </c>
      <c r="J48" s="844" t="str">
        <f ca="1">IF(F53,IF((C48&gt;0),ROUND(((VLOOKUP(C48,INDIRECT((J46&amp;"Brackets")),3,1)*C48)+VLOOKUP(C48,INDIRECT((J46&amp;"Brackets")),4,1)),0),0),"")</f>
        <v/>
      </c>
      <c r="K48" s="844" t="str">
        <f ca="1">IF(F53,IF((C48&gt;0),ROUND(((VLOOKUP(C48,INDIRECT((K46&amp;"Brackets")),3,1)*C48)+VLOOKUP(C48,INDIRECT((K46&amp;"Brackets")),4,1)),0),0),"")</f>
        <v/>
      </c>
      <c r="L48" s="827"/>
      <c r="M48" s="827"/>
      <c r="N48" s="1027">
        <f>IF(F53,"",ROUND(((VLOOKUP(SUM(C48:C49),EMBrackets,3,1)*SUM(C48:C49))+VLOOKUP(SUM(C48:C49),EMBrackets,4,1)),0))</f>
        <v>63281</v>
      </c>
      <c r="O48" s="827"/>
      <c r="P48" s="1028">
        <f>IF(F53,"",ROUND(((VLOOKUP(SUM(C48:C51),EMHBrackets,3,1)*SUM(C48:C51))+VLOOKUP(SUM(C48:C51),EMHBrackets,4,1)),0))</f>
        <v>103215</v>
      </c>
      <c r="Q48" s="845">
        <f ca="1">IF(F53,"",IF((C48=0),0,(E48/E53)))</f>
        <v>0.39001560062402496</v>
      </c>
      <c r="R48" s="827" t="str">
        <f>IF(F53,"","×")</f>
        <v>×</v>
      </c>
      <c r="S48" s="844">
        <f>IF(F53,"",IF((C48=0),0,E56))</f>
        <v>103215</v>
      </c>
      <c r="T48" s="827" t="str">
        <f>IF(F53,"","=")</f>
        <v>=</v>
      </c>
      <c r="U48" s="844">
        <f ca="1">IF(F53,"",IF((C48=0),0,(Q48*S48)))</f>
        <v>40255.460218408734</v>
      </c>
      <c r="V48" s="846">
        <f ca="1">IF((U48=""),E48,U48)*(1-IF((L55=""),0,L55))</f>
        <v>40255.460218408734</v>
      </c>
      <c r="W48" s="827">
        <f ca="1">IF((C48=0),0,(V48/C48))</f>
        <v>134.18486739469577</v>
      </c>
    </row>
    <row r="49" spans="1:23" x14ac:dyDescent="0.2">
      <c r="A49" s="847" t="s">
        <v>957</v>
      </c>
      <c r="B49" s="827"/>
      <c r="C49" s="841">
        <f>'2400 COMBINATION-SCLE'!G17</f>
        <v>150</v>
      </c>
      <c r="D49" s="827"/>
      <c r="E49" s="842">
        <f ca="1">ROUND(((VLOOKUP(C49,INDIRECT((A49&amp;"Brackets")),3,1)*C49)+VLOOKUP(C49,INDIRECT((A49&amp;"Brackets")),4,1)),0)</f>
        <v>22650</v>
      </c>
      <c r="F49" s="843" t="b">
        <f>OR(C49=0,C49&gt;=350,C49=SUM(C48:C51))</f>
        <v>0</v>
      </c>
      <c r="G49" s="844" t="str">
        <f ca="1">IF(F53,IF((C49&gt;0),ROUND(((VLOOKUP(C49,INDIRECT((G46&amp;"Brackets")),3,1)*C49)+VLOOKUP(C49,INDIRECT((G46&amp;"Brackets")),4,1)),0),0),"")</f>
        <v/>
      </c>
      <c r="H49" s="844" t="str">
        <f ca="1">IF(F53,IF((C49&gt;0),ROUND(((VLOOKUP(C49,INDIRECT((H46&amp;"Brackets")),3,1)*C49)+VLOOKUP(C49,INDIRECT((H46&amp;"Brackets")),4,1)),0),0),"")</f>
        <v/>
      </c>
      <c r="I49" s="844" t="str">
        <f ca="1">IF(F53,IF((C49&gt;0),ROUND(((VLOOKUP(C49,INDIRECT((I46&amp;"Brackets")),3,1)*C49)+VLOOKUP(C49,INDIRECT((I46&amp;"Brackets")),4,1)),0),0),"")</f>
        <v/>
      </c>
      <c r="J49" s="844" t="str">
        <f ca="1">IF(F53,IF((C49&gt;0),ROUND(((VLOOKUP(C49,INDIRECT((J46&amp;"Brackets")),3,1)*C49)+VLOOKUP(C49,INDIRECT((J46&amp;"Brackets")),4,1)),0),0),"")</f>
        <v/>
      </c>
      <c r="K49" s="844" t="str">
        <f ca="1">IF(F53,IF((C49&gt;0),ROUND(((VLOOKUP(C49,INDIRECT((K46&amp;"Brackets")),3,1)*C49)+VLOOKUP(C49,INDIRECT((K46&amp;"Brackets")),4,1)),0),0),"")</f>
        <v/>
      </c>
      <c r="L49" s="827"/>
      <c r="M49" s="827"/>
      <c r="N49" s="1027"/>
      <c r="O49" s="1029">
        <f>IF(F53,"",ROUND(((VLOOKUP(SUM(C49:C51),MHBrackets,3,1)*SUM(C49:C51))+VLOOKUP(SUM(C49:C51),MHBrackets,4,1)),0))</f>
        <v>63000</v>
      </c>
      <c r="P49" s="1028"/>
      <c r="Q49" s="845">
        <f ca="1">IF(F53,"",IF((C49=0),0,(E49/E53)))</f>
        <v>0.23556942277691106</v>
      </c>
      <c r="R49" s="827" t="str">
        <f>IF(F53,"","×")</f>
        <v>×</v>
      </c>
      <c r="S49" s="844">
        <f>IF(F53,"",IF((C49=0),0,E56))</f>
        <v>103215</v>
      </c>
      <c r="T49" s="827" t="str">
        <f>IF(F53,"","=")</f>
        <v>=</v>
      </c>
      <c r="U49" s="844">
        <f ca="1">IF(F53,"",IF((C49=0),0,(Q49*S49)))</f>
        <v>24314.297971918877</v>
      </c>
      <c r="V49" s="846">
        <f ca="1">IF((U49=""),E49,U49)*(1-IF((L55=""),0,L55))</f>
        <v>24314.297971918877</v>
      </c>
      <c r="W49" s="827">
        <f ca="1">IF((C49=0),0,(V49/C49))</f>
        <v>162.09531981279252</v>
      </c>
    </row>
    <row r="50" spans="1:23" x14ac:dyDescent="0.2">
      <c r="A50" s="848" t="s">
        <v>958</v>
      </c>
      <c r="B50" s="827"/>
      <c r="C50" s="841">
        <f>'2400 COMBINATION-SCLE'!G18</f>
        <v>200</v>
      </c>
      <c r="D50" s="827"/>
      <c r="E50" s="842">
        <f ca="1">((ROUND(((VLOOKUP(SUM(C50:C51),INDIRECT((A50&amp;"Brackets")),3,1)*SUM(C50:C51))+VLOOKUP(SUM(C50:C51),INDIRECT((A50&amp;"Brackets")),4,1)),0))/IF((SUM(C50:C51)=0),1,SUM(C50:C51)))*C50</f>
        <v>36000</v>
      </c>
      <c r="F50" s="843" t="b">
        <f>OR(SUM(C50:C51)=0,SUM(C50:C51)&gt;=350,SUM(C50:C51)=SUM(C48:C51))</f>
        <v>0</v>
      </c>
      <c r="G50" s="844" t="str">
        <f ca="1">IF(F53,IF((SUM(C50:C51)&gt;0),(((ROUND(((VLOOKUP(SUM(C50:C51),INDIRECT((G46&amp;"Brackets")),3,1)*SUM(C50:C51))+VLOOKUP(SUM(C50:C51),INDIRECT((G46&amp;"Brackets")),4,1)),0))/SUM(C50:C51))*C50),0),"")</f>
        <v/>
      </c>
      <c r="H50" s="844" t="str">
        <f ca="1">IF(F53,IF((SUM(C50:C51)&gt;0),(((ROUND(((VLOOKUP(SUM(C50:C51),INDIRECT((H46&amp;"Brackets")),3,1)*SUM(C50:C51))+VLOOKUP(SUM(C50:C51),INDIRECT((H46&amp;"Brackets")),4,1)),0))/SUM(C50:C51))*C50),0),"")</f>
        <v/>
      </c>
      <c r="I50" s="844" t="str">
        <f ca="1">IF(F53,IF((SUM(C50:C51)&gt;0),(((ROUND(((VLOOKUP(SUM(C50:C51),INDIRECT((I46&amp;"Brackets")),3,1)*SUM(C50:C51))+VLOOKUP(SUM(C50:C51),INDIRECT((I46&amp;"Brackets")),4,1)),0))/SUM(C50:C51))*C50),0),"")</f>
        <v/>
      </c>
      <c r="J50" s="844" t="str">
        <f ca="1">IF(F53,IF((SUM(C50:C51)&gt;0),(((ROUND(((VLOOKUP(SUM(C50:C51),INDIRECT((J46&amp;"Brackets")),3,1)*SUM(C50:C51))+VLOOKUP(SUM(C50:C51),INDIRECT((J46&amp;"Brackets")),4,1)),0))/SUM(C50:C51))*C50),0),"")</f>
        <v/>
      </c>
      <c r="K50" s="844" t="str">
        <f ca="1">IF(F53,IF((SUM(C50:C51)&gt;0),(((ROUND(((VLOOKUP(SUM(C50:C51),INDIRECT((K46&amp;"Brackets")),3,1)*SUM(C50:C51))+VLOOKUP(SUM(C50:C51),INDIRECT((K46&amp;"Brackets")),4,1)),0))/SUM(C50:C51))*C50),0),"")</f>
        <v/>
      </c>
      <c r="L50" s="827"/>
      <c r="M50" s="827"/>
      <c r="N50" s="827"/>
      <c r="O50" s="1029"/>
      <c r="P50" s="1029"/>
      <c r="Q50" s="845">
        <f ca="1">IF(F53,"",IF((C50=0),0,(E50/E53)))</f>
        <v>0.37441497659906398</v>
      </c>
      <c r="R50" s="827" t="str">
        <f>IF(F53,"","×")</f>
        <v>×</v>
      </c>
      <c r="S50" s="844">
        <f>IF(F53,"",IF((C50=0),0,E56))</f>
        <v>103215</v>
      </c>
      <c r="T50" s="827" t="str">
        <f>IF(F53,"","=")</f>
        <v>=</v>
      </c>
      <c r="U50" s="844">
        <f ca="1">IF(F53,"",IF((C50=0),0,(Q50*S50)))</f>
        <v>38645.241809672385</v>
      </c>
      <c r="V50" s="846">
        <f ca="1">IF((U50=""),E50,U50)*(1-IF((L55=""),0,L55))</f>
        <v>38645.241809672385</v>
      </c>
      <c r="W50" s="827">
        <f ca="1">IF((C50=0),0,(V50/C50))</f>
        <v>193.22620904836194</v>
      </c>
    </row>
    <row r="51" spans="1:23" x14ac:dyDescent="0.2">
      <c r="A51" s="848" t="s">
        <v>972</v>
      </c>
      <c r="B51" s="827"/>
      <c r="C51" s="841"/>
      <c r="D51" s="827"/>
      <c r="E51" s="842">
        <f ca="1">((ROUND(((VLOOKUP(SUM(C50:C51),INDIRECT((A51&amp;"Brackets")),3,1)*SUM(C50:C51))+VLOOKUP(SUM(C50:C51),INDIRECT((A51&amp;"Brackets")),4,1)),0))/IF((SUM(C50:C51)=0),1,SUM(C50:C51)))*C51</f>
        <v>0</v>
      </c>
      <c r="F51" s="843" t="b">
        <f>OR(SUM(C50:C51)=0,SUM(C50:C51)&gt;=350,SUM(C50:C51)=SUM(C48:C51))</f>
        <v>0</v>
      </c>
      <c r="G51" s="844" t="str">
        <f ca="1">IF(F53,IF((SUM(C50:C51)&gt;0),(((ROUND(((VLOOKUP(SUM(C50:C51),INDIRECT((G46&amp;"Brackets")),3,1)*SUM(C50:C51))+VLOOKUP(SUM(C50:C51),INDIRECT((G46&amp;"Brackets")),4,1)),0))/SUM(C50:C51))*C51),0),"")</f>
        <v/>
      </c>
      <c r="H51" s="844" t="str">
        <f ca="1">IF(F53,IF((SUM(C50:C51)&gt;0),(((ROUND(((VLOOKUP(SUM(C50:C51),INDIRECT((H46&amp;"Brackets")),3,1)*SUM(C50:C51))+VLOOKUP(SUM(C50:C51),INDIRECT((H46&amp;"Brackets")),4,1)),0))/SUM(C50:C51))*C51),0),"")</f>
        <v/>
      </c>
      <c r="I51" s="844" t="str">
        <f ca="1">IF(F53,IF((SUM(C50:C51)&gt;0),(((ROUND(((VLOOKUP(SUM(C50:C51),INDIRECT((I46&amp;"Brackets")),3,1)*SUM(C50:C51))+VLOOKUP(SUM(C50:C51),INDIRECT((I46&amp;"Brackets")),4,1)),0))/SUM(C50:C51))*C51),0),"")</f>
        <v/>
      </c>
      <c r="J51" s="844" t="str">
        <f ca="1">IF(F53,IF((SUM(C50:C51)&gt;0),(((ROUND(((VLOOKUP(SUM(C50:C51),INDIRECT((J46&amp;"Brackets")),3,1)*SUM(C50:C51))+VLOOKUP(SUM(C50:C51),INDIRECT((J46&amp;"Brackets")),4,1)),0))/SUM(C50:C51))*C51),0),"")</f>
        <v/>
      </c>
      <c r="K51" s="844" t="str">
        <f ca="1">IF(F53,IF((SUM(C50:C51)&gt;0),(((ROUND(((VLOOKUP(SUM(C50:C51),INDIRECT((K46&amp;"Brackets")),3,1)*SUM(C50:C51))+VLOOKUP(SUM(C50:C51),INDIRECT((K46&amp;"Brackets")),4,1)),0))/SUM(C50:C51))*C51),0),"")</f>
        <v/>
      </c>
      <c r="L51" s="827"/>
      <c r="M51" s="827"/>
      <c r="N51" s="827"/>
      <c r="O51" s="1029"/>
      <c r="P51" s="1029"/>
      <c r="Q51" s="845">
        <f>IF(F53,"",IF((C51=0),0,(E51/E53)))</f>
        <v>0</v>
      </c>
      <c r="R51" s="827" t="str">
        <f>IF(F53,"","×")</f>
        <v>×</v>
      </c>
      <c r="S51" s="844">
        <f>IF(F53,"",IF((C51=0),0,E56))</f>
        <v>0</v>
      </c>
      <c r="T51" s="827" t="str">
        <f>IF(F53,"","=")</f>
        <v>=</v>
      </c>
      <c r="U51" s="844">
        <f>IF(F53,"",IF((C51=0),0,(Q51*S51)))</f>
        <v>0</v>
      </c>
      <c r="V51" s="846">
        <f>IF((U51=""),E51,U51)*(1-IF((L55=""),0,L55))</f>
        <v>0</v>
      </c>
      <c r="W51" s="827">
        <f>IF((C51=0),0,(V51/C51))</f>
        <v>0</v>
      </c>
    </row>
    <row r="52" spans="1:23" ht="26.25" thickBot="1" x14ac:dyDescent="0.25">
      <c r="A52" s="849" t="s">
        <v>973</v>
      </c>
      <c r="B52" s="850" t="s">
        <v>974</v>
      </c>
      <c r="C52" s="851"/>
      <c r="D52" s="850" t="s">
        <v>974</v>
      </c>
      <c r="E52" s="852"/>
      <c r="F52" s="852"/>
      <c r="G52" s="833"/>
      <c r="H52" s="833"/>
      <c r="I52" s="833"/>
      <c r="J52" s="833"/>
      <c r="K52" s="833"/>
      <c r="L52" s="833"/>
      <c r="M52" s="853"/>
      <c r="N52" s="853"/>
      <c r="O52" s="853"/>
      <c r="P52" s="853"/>
      <c r="Q52" s="833"/>
      <c r="R52" s="853"/>
      <c r="S52" s="833"/>
      <c r="T52" s="853"/>
      <c r="U52" s="833"/>
      <c r="V52" s="854">
        <f ca="1">((ROUND(((VLOOKUP(SUM(C50:C51),INDIRECT((A52&amp;"Brackets")),3,1)*SUM(C50:C51))+VLOOKUP(SUM(C50:C51),INDIRECT((A52&amp;"Brackets")),4,1)),0))/IF((SUM(C50:C51)=0),1,SUM(C50:C51)))*C51</f>
        <v>0</v>
      </c>
      <c r="W52" s="855">
        <f>IF((C51=0),0,(V52/C51))</f>
        <v>0</v>
      </c>
    </row>
    <row r="53" spans="1:23" x14ac:dyDescent="0.2">
      <c r="A53" s="856" t="s">
        <v>975</v>
      </c>
      <c r="B53" s="827"/>
      <c r="C53" s="857">
        <f>SUM(C48:C51)</f>
        <v>650</v>
      </c>
      <c r="D53" s="827"/>
      <c r="E53" s="857">
        <f ca="1">IF((C53=""),"",SUM(E48:E51))</f>
        <v>96150</v>
      </c>
      <c r="F53" s="858" t="b">
        <f>AND(F48:F51)</f>
        <v>0</v>
      </c>
      <c r="G53" s="859" t="str">
        <f>IF(F53,SUM(G48:G51),"")</f>
        <v/>
      </c>
      <c r="H53" s="859" t="str">
        <f>IF(F53,SUM(H48:H51),"")</f>
        <v/>
      </c>
      <c r="I53" s="859" t="str">
        <f>IF(F53,SUM(I48:I51),"")</f>
        <v/>
      </c>
      <c r="J53" s="859" t="str">
        <f>IF(F53,SUM(J48:J51),"")</f>
        <v/>
      </c>
      <c r="K53" s="859" t="str">
        <f>IF(F53,SUM(K48:K51),"")</f>
        <v/>
      </c>
      <c r="L53" s="859" t="str">
        <f>IF(F53,ROUND((E53*L55),0),"")</f>
        <v/>
      </c>
      <c r="M53" s="860"/>
      <c r="N53" s="853"/>
      <c r="O53" s="853"/>
      <c r="P53" s="853"/>
      <c r="Q53" s="861">
        <f ca="1">IF(F53,"",SUM(Q48:Q51))</f>
        <v>1</v>
      </c>
      <c r="R53" s="860"/>
      <c r="S53" s="858"/>
      <c r="T53" s="860"/>
      <c r="U53" s="859">
        <f ca="1">IF(F53,"",SUM(U48:U51))</f>
        <v>103215</v>
      </c>
      <c r="V53" s="838"/>
      <c r="W53" s="838"/>
    </row>
    <row r="54" spans="1:23" x14ac:dyDescent="0.2">
      <c r="A54" s="862" t="str">
        <f>IF(F53,"Combined","")</f>
        <v/>
      </c>
      <c r="B54" s="827"/>
      <c r="C54" s="863" t="str">
        <f>IF(F53,C53,"")</f>
        <v/>
      </c>
      <c r="D54" s="827"/>
      <c r="E54" s="827"/>
      <c r="F54" s="827"/>
      <c r="G54" s="844" t="str">
        <f ca="1">IF(F53,IF((C54&gt;0),ROUND(((VLOOKUP(C54,INDIRECT((G46&amp;"Brackets")),3,1)*C54)+VLOOKUP(C54,INDIRECT((G46&amp;"Brackets")),4,1)),0),0),"")</f>
        <v/>
      </c>
      <c r="H54" s="844" t="str">
        <f ca="1">IF(F53,IF((C54&gt;0),ROUND(((VLOOKUP(C54,INDIRECT((H46&amp;"Brackets")),3,1)*C54)+VLOOKUP(C54,INDIRECT((H46&amp;"Brackets")),4,1)),0),0),"")</f>
        <v/>
      </c>
      <c r="I54" s="844" t="str">
        <f ca="1">IF(F53,IF((C54&gt;0),ROUND(((VLOOKUP(C54,INDIRECT((I46&amp;"Brackets")),3,1)*C54)+VLOOKUP(C54,INDIRECT((I46&amp;"Brackets")),4,1)),0),0),"")</f>
        <v/>
      </c>
      <c r="J54" s="844" t="str">
        <f ca="1">IF(F53,IF((C54&gt;0),ROUND(((VLOOKUP(C54,INDIRECT((J46&amp;"Brackets")),3,1)*C54)+VLOOKUP(C54,INDIRECT((J46&amp;"Brackets")),4,1)),0),0),"")</f>
        <v/>
      </c>
      <c r="K54" s="844" t="str">
        <f ca="1">IF(F53,IF((C54&gt;0),ROUND(((VLOOKUP(C54,INDIRECT((K46&amp;"Brackets")),3,1)*C54)+VLOOKUP(C54,INDIRECT((K46&amp;"Brackets")),4,1)),0),0),"")</f>
        <v/>
      </c>
      <c r="L54" s="844" t="str">
        <f>IF(F53,(E53-L53),"")</f>
        <v/>
      </c>
      <c r="M54" s="827"/>
      <c r="N54" s="827"/>
      <c r="O54" s="827"/>
      <c r="P54" s="827"/>
      <c r="Q54" s="827"/>
      <c r="R54" s="827"/>
      <c r="S54" s="827"/>
      <c r="T54" s="827"/>
      <c r="U54" s="827"/>
      <c r="V54" s="827"/>
      <c r="W54" s="827"/>
    </row>
    <row r="55" spans="1:23" x14ac:dyDescent="0.2">
      <c r="A55" s="862" t="str">
        <f>IF(F53,"Savings","")</f>
        <v/>
      </c>
      <c r="B55" s="827"/>
      <c r="C55" s="827"/>
      <c r="D55" s="827"/>
      <c r="E55" s="827"/>
      <c r="F55" s="827"/>
      <c r="G55" s="845" t="str">
        <f>IF(F53,((G53-G54)/IF((G53=0),1,G53)),"")</f>
        <v/>
      </c>
      <c r="H55" s="845" t="str">
        <f>IF(F53,((H53-H54)/IF((H53=0),1,H53)),"")</f>
        <v/>
      </c>
      <c r="I55" s="845" t="str">
        <f>IF(F53,((I53-I54)/IF((I53=0),1,I53)),"")</f>
        <v/>
      </c>
      <c r="J55" s="845" t="str">
        <f>IF(F53,((J53-J54)/IF((J53=0),1,J53)),"")</f>
        <v/>
      </c>
      <c r="K55" s="845" t="str">
        <f>IF(F53,((K53-K54)/IF((K53=0),1,K53)),"")</f>
        <v/>
      </c>
      <c r="L55" s="864" t="str">
        <f>IF(F53,(G55*C48+H55*C49+I55*C50+J55*C51)/IF(C53=0,1,C53),"")</f>
        <v/>
      </c>
      <c r="M55" s="827"/>
      <c r="N55" s="827"/>
      <c r="O55" s="827"/>
      <c r="P55" s="827"/>
      <c r="Q55" s="827"/>
      <c r="R55" s="827"/>
      <c r="S55" s="827"/>
      <c r="T55" s="827"/>
      <c r="U55" s="827"/>
      <c r="V55" s="827"/>
      <c r="W55" s="827"/>
    </row>
    <row r="56" spans="1:23" x14ac:dyDescent="0.2">
      <c r="A56" s="1030" t="str">
        <f>IF(F53,"SF from Calculated Intuition","SF from Combination Chart")</f>
        <v>SF from Combination Chart</v>
      </c>
      <c r="B56" s="1030"/>
      <c r="C56" s="1030"/>
      <c r="D56" s="1030"/>
      <c r="E56" s="865">
        <f>IF(F53,L54,IF((C53=0),0,IF((C48=0),O49,IF((C49=0),P48,IF((SUM(C50:C51)=0),N48,P48)))))</f>
        <v>103215</v>
      </c>
      <c r="F56" s="866" t="s">
        <v>38</v>
      </c>
      <c r="G56" s="827"/>
      <c r="H56" s="827"/>
      <c r="I56" s="827"/>
      <c r="J56" s="866"/>
      <c r="K56" s="866"/>
      <c r="L56" s="866"/>
      <c r="M56" s="866"/>
      <c r="N56" s="866"/>
      <c r="O56" s="866"/>
      <c r="P56" s="866"/>
      <c r="Q56" s="866"/>
      <c r="R56" s="866"/>
      <c r="S56" s="866"/>
      <c r="T56" s="866"/>
      <c r="U56" s="866"/>
      <c r="V56" s="827"/>
      <c r="W56" s="827"/>
    </row>
    <row r="60" spans="1:23" x14ac:dyDescent="0.2">
      <c r="A60" s="823" t="s">
        <v>980</v>
      </c>
    </row>
    <row r="61" spans="1:23" x14ac:dyDescent="0.2">
      <c r="A61" s="823">
        <v>2013</v>
      </c>
    </row>
  </sheetData>
  <sheetProtection password="D821" sheet="1" objects="1" scenarios="1" selectLockedCells="1" selectUnlockedCells="1"/>
  <mergeCells count="53">
    <mergeCell ref="BC1:BG1"/>
    <mergeCell ref="BI1:BM1"/>
    <mergeCell ref="BO1:BS1"/>
    <mergeCell ref="A2:W2"/>
    <mergeCell ref="E3:E4"/>
    <mergeCell ref="F3:F4"/>
    <mergeCell ref="G3:K3"/>
    <mergeCell ref="Q3:Q4"/>
    <mergeCell ref="S3:S4"/>
    <mergeCell ref="U3:U4"/>
    <mergeCell ref="A1:W1"/>
    <mergeCell ref="Y1:AC1"/>
    <mergeCell ref="AE1:AI1"/>
    <mergeCell ref="AK1:AO1"/>
    <mergeCell ref="AQ1:AU1"/>
    <mergeCell ref="AW1:BA1"/>
    <mergeCell ref="A28:D28"/>
    <mergeCell ref="A30:W30"/>
    <mergeCell ref="N6:N7"/>
    <mergeCell ref="P6:P9"/>
    <mergeCell ref="O7:O9"/>
    <mergeCell ref="A14:D14"/>
    <mergeCell ref="A16:W16"/>
    <mergeCell ref="E17:E18"/>
    <mergeCell ref="F17:F18"/>
    <mergeCell ref="G17:K17"/>
    <mergeCell ref="Q17:Q18"/>
    <mergeCell ref="S17:S18"/>
    <mergeCell ref="U31:U32"/>
    <mergeCell ref="U17:U18"/>
    <mergeCell ref="N20:N21"/>
    <mergeCell ref="P20:P23"/>
    <mergeCell ref="O21:O23"/>
    <mergeCell ref="E31:E32"/>
    <mergeCell ref="F31:F32"/>
    <mergeCell ref="G31:K31"/>
    <mergeCell ref="Q31:Q32"/>
    <mergeCell ref="S31:S32"/>
    <mergeCell ref="N34:N35"/>
    <mergeCell ref="P34:P37"/>
    <mergeCell ref="O35:O37"/>
    <mergeCell ref="A42:D42"/>
    <mergeCell ref="A44:W44"/>
    <mergeCell ref="U45:U46"/>
    <mergeCell ref="N48:N49"/>
    <mergeCell ref="P48:P51"/>
    <mergeCell ref="O49:O51"/>
    <mergeCell ref="A56:D56"/>
    <mergeCell ref="E45:E46"/>
    <mergeCell ref="F45:F46"/>
    <mergeCell ref="G45:K45"/>
    <mergeCell ref="Q45:Q46"/>
    <mergeCell ref="S45:S46"/>
  </mergeCells>
  <conditionalFormatting sqref="N6:N7">
    <cfRule type="containsBlanks" dxfId="7" priority="8" stopIfTrue="1">
      <formula>LEN(TRIM(N6))=0</formula>
    </cfRule>
  </conditionalFormatting>
  <conditionalFormatting sqref="O7:O9 P6:P9">
    <cfRule type="containsBlanks" dxfId="6" priority="7" stopIfTrue="1">
      <formula>LEN(TRIM(O6))=0</formula>
    </cfRule>
  </conditionalFormatting>
  <conditionalFormatting sqref="N20:N21">
    <cfRule type="containsBlanks" dxfId="5" priority="6" stopIfTrue="1">
      <formula>LEN(TRIM(N20))=0</formula>
    </cfRule>
  </conditionalFormatting>
  <conditionalFormatting sqref="O21:O23 P20:P23">
    <cfRule type="containsBlanks" dxfId="4" priority="5" stopIfTrue="1">
      <formula>LEN(TRIM(O20))=0</formula>
    </cfRule>
  </conditionalFormatting>
  <conditionalFormatting sqref="N34:N35">
    <cfRule type="containsBlanks" dxfId="3" priority="4" stopIfTrue="1">
      <formula>LEN(TRIM(N34))=0</formula>
    </cfRule>
  </conditionalFormatting>
  <conditionalFormatting sqref="O35:O37 P34:P37">
    <cfRule type="containsBlanks" dxfId="2" priority="3" stopIfTrue="1">
      <formula>LEN(TRIM(O34))=0</formula>
    </cfRule>
  </conditionalFormatting>
  <conditionalFormatting sqref="N48:N49">
    <cfRule type="containsBlanks" dxfId="1" priority="2" stopIfTrue="1">
      <formula>LEN(TRIM(N48))=0</formula>
    </cfRule>
  </conditionalFormatting>
  <conditionalFormatting sqref="O49:O51 P48:P51">
    <cfRule type="containsBlanks" dxfId="0" priority="1" stopIfTrue="1">
      <formula>LEN(TRIM(O48))=0</formula>
    </cfRule>
  </conditionalFormatting>
  <pageMargins left="0.75" right="0.75" top="0.5" bottom="0.5" header="0.51180555555555551" footer="0.51180555555555551"/>
  <pageSetup paperSize="9" firstPageNumber="0" orientation="portrait" horizontalDpi="300" verticalDpi="300" r:id="rId1"/>
  <headerFooter alignWithMargin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18</vt:i4>
      </vt:variant>
    </vt:vector>
  </HeadingPairs>
  <TitlesOfParts>
    <vt:vector size="23" baseType="lpstr">
      <vt:lpstr>2100 E-SCLE</vt:lpstr>
      <vt:lpstr>2200 M-SCLE</vt:lpstr>
      <vt:lpstr>2300 H-SCLE</vt:lpstr>
      <vt:lpstr>2400 COMBINATION-SCLE</vt:lpstr>
      <vt:lpstr>DNPBracketing</vt:lpstr>
      <vt:lpstr>CTCoreBrackets</vt:lpstr>
      <vt:lpstr>CTCoreSF</vt:lpstr>
      <vt:lpstr>CTProgramBrackets</vt:lpstr>
      <vt:lpstr>CTProgramSF</vt:lpstr>
      <vt:lpstr>CurrentYear</vt:lpstr>
      <vt:lpstr>ElementaryBrackets</vt:lpstr>
      <vt:lpstr>ElementarySF</vt:lpstr>
      <vt:lpstr>EMBrackets</vt:lpstr>
      <vt:lpstr>EMHBrackets</vt:lpstr>
      <vt:lpstr>HighBrackets</vt:lpstr>
      <vt:lpstr>HighSF</vt:lpstr>
      <vt:lpstr>MHBrackets</vt:lpstr>
      <vt:lpstr>MiddleBrackets</vt:lpstr>
      <vt:lpstr>MiddleSF</vt:lpstr>
      <vt:lpstr>'2100 E-SCLE'!Print_Area</vt:lpstr>
      <vt:lpstr>'2200 M-SCLE'!Print_Area</vt:lpstr>
      <vt:lpstr>'2300 H-SCLE'!Print_Area</vt:lpstr>
      <vt:lpstr>'2400 COMBINATION-SCLE'!Print_Area</vt:lpstr>
    </vt:vector>
  </TitlesOfParts>
  <Company>Fanning/Howey Associates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Middle School Bracketing Sheet (POR)</dc:title>
  <dc:subject>OSFC - OSDM - CH2</dc:subject>
  <dc:creator>rclefeld</dc:creator>
  <cp:lastModifiedBy>Sherri Scholl</cp:lastModifiedBy>
  <cp:lastPrinted>2013-04-30T14:59:50Z</cp:lastPrinted>
  <dcterms:created xsi:type="dcterms:W3CDTF">1997-10-10T22:46:24Z</dcterms:created>
  <dcterms:modified xsi:type="dcterms:W3CDTF">2013-04-30T15:00:13Z</dcterms:modified>
  <cp:category>Section 2200</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lient">
    <vt:lpwstr>Ohio School Facilities Commissions</vt:lpwstr>
  </property>
  <property fmtid="{D5CDD505-2E9C-101B-9397-08002B2CF9AE}" pid="3" name="Document number">
    <vt:i4>2200</vt:i4>
  </property>
</Properties>
</file>